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ryIxOZw9gzC7u+sTgZz97iu1OOgHLgESJ+FhRr1odgo6drBWwCpS1z+KGTEUTKpYgkJ6f1TJyuBcSi4y+HB75A==" workbookSaltValue="Vr80lRaOZYsU/s/HmEegx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R8" i="9" s="1"/>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R28" i="14" s="1"/>
  <c r="P25" i="14"/>
  <c r="P22" i="14"/>
  <c r="R22" i="14" s="1"/>
  <c r="P21" i="14"/>
  <c r="P20" i="14"/>
  <c r="P19" i="14"/>
  <c r="P18" i="14"/>
  <c r="R18" i="14" s="1"/>
  <c r="P17" i="14"/>
  <c r="P16" i="14"/>
  <c r="P12" i="14"/>
  <c r="P11" i="14"/>
  <c r="R11" i="14" s="1"/>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S28" i="14" s="1"/>
  <c r="V28" i="14" s="1"/>
  <c r="Q29" i="14"/>
  <c r="Q25" i="14"/>
  <c r="Q17" i="14"/>
  <c r="Q18" i="14"/>
  <c r="S18" i="14" s="1"/>
  <c r="V18" i="14" s="1"/>
  <c r="Q19" i="14"/>
  <c r="Q21" i="14"/>
  <c r="S21" i="14" s="1"/>
  <c r="V21" i="14" s="1"/>
  <c r="Q22" i="14"/>
  <c r="Q13" i="14"/>
  <c r="S13" i="14" s="1"/>
  <c r="V13" i="14" s="1"/>
  <c r="Q12" i="14"/>
  <c r="Q10" i="14"/>
  <c r="S10" i="14" s="1"/>
  <c r="V10" i="14" s="1"/>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BH30" i="16" s="1"/>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AP17" i="20"/>
  <c r="BG10" i="11"/>
  <c r="V25" i="11"/>
  <c r="S14" i="16"/>
  <c r="P14" i="16"/>
  <c r="F13" i="16"/>
  <c r="Z14" i="17"/>
  <c r="R30" i="17"/>
  <c r="K26" i="2"/>
  <c r="N26" i="2"/>
  <c r="M23" i="2"/>
  <c r="K30" i="2"/>
  <c r="F30" i="17"/>
  <c r="F26" i="17"/>
  <c r="F14" i="7"/>
  <c r="BM12" i="11"/>
  <c r="BJ16" i="11"/>
  <c r="AZ13" i="11"/>
  <c r="BH28" i="16"/>
  <c r="V29" i="11"/>
  <c r="V22" i="11"/>
  <c r="AZ21" i="11"/>
  <c r="BM20" i="11"/>
  <c r="BJ28" i="11"/>
  <c r="BU28" i="17"/>
  <c r="BU11" i="17"/>
  <c r="BW9" i="20"/>
  <c r="BU21" i="17"/>
  <c r="BV17" i="16"/>
  <c r="BW17" i="20"/>
  <c r="BV25" i="16"/>
  <c r="X21" i="16"/>
  <c r="BU9" i="17"/>
  <c r="BU19" i="17"/>
  <c r="BW10" i="20"/>
  <c r="BV22" i="16"/>
  <c r="BU17" i="17"/>
  <c r="S22" i="17"/>
  <c r="BF20" i="11"/>
  <c r="S16" i="16"/>
  <c r="BL20" i="11"/>
  <c r="BL16" i="11"/>
  <c r="BH21" i="11"/>
  <c r="AZ25" i="11"/>
  <c r="AZ30" i="11" s="1"/>
  <c r="BK17" i="11"/>
  <c r="BM18" i="11"/>
  <c r="BH17" i="11"/>
  <c r="AQ12" i="21"/>
  <c r="BH25" i="11"/>
  <c r="BI21" i="11"/>
  <c r="T14" i="20"/>
  <c r="BB26" i="13"/>
  <c r="L10" i="2"/>
  <c r="X22" i="16"/>
  <c r="S16" i="17"/>
  <c r="AH14" i="16"/>
  <c r="S17" i="17"/>
  <c r="L12" i="2"/>
  <c r="X19" i="16"/>
  <c r="X10" i="21"/>
  <c r="AO14" i="21"/>
  <c r="L20" i="2"/>
  <c r="U9" i="17"/>
  <c r="U31" i="17" s="1"/>
  <c r="V10" i="16"/>
  <c r="AP14" i="16"/>
  <c r="V9" i="16"/>
  <c r="F11" i="16"/>
  <c r="BL11" i="16" s="1"/>
  <c r="X13" i="16"/>
  <c r="T23" i="17"/>
  <c r="T26" i="17" s="1"/>
  <c r="T30" i="17" s="1"/>
  <c r="U26" i="16"/>
  <c r="BG16" i="13"/>
  <c r="BE17" i="13"/>
  <c r="BF17" i="13"/>
  <c r="E32" i="20"/>
  <c r="AM32" i="20"/>
  <c r="J32" i="20"/>
  <c r="AK32" i="20"/>
  <c r="U12" i="11"/>
  <c r="AZ32" i="20"/>
  <c r="W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R32" i="20"/>
  <c r="BF17" i="8" l="1"/>
  <c r="F16" i="11"/>
  <c r="AQ16" i="11" s="1"/>
  <c r="U13" i="16"/>
  <c r="P13" i="14"/>
  <c r="R13" i="14" s="1"/>
  <c r="R13" i="17"/>
  <c r="BH9" i="16"/>
  <c r="BL19" i="11"/>
  <c r="BJ18" i="11"/>
  <c r="BM17" i="11"/>
  <c r="BF21" i="11"/>
  <c r="BF17" i="11"/>
  <c r="BL12" i="11"/>
  <c r="BK21" i="11"/>
  <c r="BI25" i="11"/>
  <c r="V13" i="11"/>
  <c r="BI19" i="11"/>
  <c r="AP22"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V25" i="16"/>
  <c r="L9" i="2"/>
  <c r="AA11" i="16"/>
  <c r="X16" i="16"/>
  <c r="X23" i="16" s="1"/>
  <c r="L18" i="2"/>
  <c r="L17" i="2"/>
  <c r="L16" i="2"/>
  <c r="X21" i="20"/>
  <c r="L28" i="2"/>
  <c r="BK10" i="11"/>
  <c r="BI22" i="11"/>
  <c r="BL22" i="11"/>
  <c r="BF16" i="11"/>
  <c r="Q16" i="17"/>
  <c r="BJ10" i="11"/>
  <c r="BK20" i="11"/>
  <c r="BH25" i="16"/>
  <c r="BF12" i="11"/>
  <c r="P16" i="17"/>
  <c r="AZ11" i="11"/>
  <c r="S25" i="17"/>
  <c r="BV20" i="16"/>
  <c r="S11" i="17"/>
  <c r="BU13" i="17"/>
  <c r="BW28" i="20"/>
  <c r="S21" i="17"/>
  <c r="BW11" i="20"/>
  <c r="BV11" i="16"/>
  <c r="BU29" i="17"/>
  <c r="BV21" i="16"/>
  <c r="BW13" i="20"/>
  <c r="BV13" i="16"/>
  <c r="BV28" i="16"/>
  <c r="BU25" i="17"/>
  <c r="BG21" i="11"/>
  <c r="AP18" i="20"/>
  <c r="T18" i="16"/>
  <c r="BK18" i="11"/>
  <c r="BL21" i="11"/>
  <c r="R18" i="20"/>
  <c r="R23" i="20" s="1"/>
  <c r="BL11" i="11"/>
  <c r="AP16" i="20"/>
  <c r="V9" i="11"/>
  <c r="V11" i="11"/>
  <c r="BF10" i="11"/>
  <c r="V11" i="16"/>
  <c r="BJ22" i="11"/>
  <c r="I13" i="14"/>
  <c r="X12" i="17"/>
  <c r="BG17" i="13"/>
  <c r="BG9" i="11"/>
  <c r="BJ20" i="11"/>
  <c r="R10" i="21"/>
  <c r="R14" i="21" s="1"/>
  <c r="BH22" i="16"/>
  <c r="BJ11" i="11"/>
  <c r="BH20" i="16"/>
  <c r="AP21" i="20"/>
  <c r="AP10" i="21"/>
  <c r="AZ18" i="11"/>
  <c r="BK11" i="11"/>
  <c r="V12" i="21"/>
  <c r="AZ19" i="11"/>
  <c r="BK29" i="11"/>
  <c r="BG22" i="11"/>
  <c r="BG20" i="11"/>
  <c r="BF18" i="11"/>
  <c r="BF28" i="11"/>
  <c r="Q18" i="20"/>
  <c r="Q23" i="20" s="1"/>
  <c r="BH16" i="16"/>
  <c r="BG25" i="11"/>
  <c r="BF13" i="11"/>
  <c r="V16" i="1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W32" i="21"/>
  <c r="AA32" i="20"/>
  <c r="AN32" i="20"/>
  <c r="AD32" i="20"/>
  <c r="AC32" i="20"/>
  <c r="AV32" i="20"/>
  <c r="O10" i="11"/>
  <c r="AP32" i="20"/>
  <c r="U17" i="11"/>
  <c r="AQ32" i="20"/>
  <c r="K17" i="12" l="1"/>
  <c r="I16" i="12"/>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<sst xmlns="http://schemas.openxmlformats.org/spreadsheetml/2006/main" count="2682" uniqueCount="1193">
  <si>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</si>
  <si>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</si>
  <si>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</si>
  <si>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</si>
  <si>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</si>
  <si>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</si>
  <si>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</si>
  <si>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</si>
  <si>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</si>
  <si>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</si>
  <si>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</si>
  <si>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</si>
  <si>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</si>
  <si>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</si>
  <si>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</si>
  <si>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</si>
  <si>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</si>
  <si>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</si>
  <si>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</si>
  <si>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</si>
  <si>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</si>
  <si>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</si>
  <si>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</si>
  <si>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</si>
  <si>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</si>
  <si>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</si>
  <si>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</si>
  <si>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</si>
  <si>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</si>
  <si>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</si>
  <si>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</si>
  <si>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</si>
  <si>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</si>
  <si>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</si>
  <si>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</si>
  <si>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</si>
  <si>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</si>
  <si>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</si>
  <si>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</si>
  <si>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</si>
  <si>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</si>
  <si>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</si>
  <si>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</si>
  <si>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</si>
  <si>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</si>
  <si>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</si>
  <si>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</si>
  <si>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</si>
  <si>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</si>
  <si>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</si>
  <si>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</si>
  <si>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</si>
  <si>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</si>
  <si>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</si>
  <si>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</si>
  <si>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</si>
  <si>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</si>
  <si>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</si>
  <si>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</si>
  <si>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</si>
  <si>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</si>
  <si>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</si>
  <si>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</si>
  <si>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</si>
  <si>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</si>
  <si>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</si>
  <si>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</si>
  <si>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</si>
  <si>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</si>
  <si>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</si>
  <si>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</si>
  <si>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</si>
  <si>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</si>
  <si>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</si>
  <si>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</si>
  <si>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</si>
  <si>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</si>
  <si>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</si>
  <si>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</si>
  <si>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</si>
  <si>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</si>
  <si>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</si>
  <si>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</si>
  <si>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</si>
  <si>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</si>
  <si>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</si>
  <si>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</si>
  <si>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</si>
  <si>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</si>
  <si>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</si>
  <si>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</si>
  <si>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</si>
  <si>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</si>
  <si>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</si>
  <si>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</si>
  <si>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</si>
  <si>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</si>
  <si>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</si>
  <si>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</si>
  <si>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</si>
  <si>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</si>
  <si>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</si>
  <si>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</si>
  <si>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</si>
  <si>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</si>
  <si>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</si>
  <si>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</si>
  <si>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</si>
  <si>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</si>
  <si>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</si>
  <si>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</si>
  <si>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</si>
  <si>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</si>
  <si>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</si>
  <si>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</si>
  <si>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</si>
  <si>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</si>
  <si>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</si>
  <si>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</si>
  <si>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</si>
  <si>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</si>
  <si>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</si>
  <si>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</si>
  <si>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</si>
  <si>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</si>
  <si>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</si>
  <si>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</si>
  <si>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</si>
  <si>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</si>
  <si>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</si>
  <si>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</si>
  <si>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</si>
  <si>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</si>
  <si>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</si>
  <si>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</si>
  <si>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</si>
  <si>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</si>
  <si>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</si>
  <si>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</si>
  <si>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</si>
  <si>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</si>
  <si>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</si>
  <si>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</si>
  <si>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</si>
  <si>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</si>
  <si>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</si>
  <si>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</si>
  <si>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</si>
  <si>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</si>
  <si>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</si>
  <si>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</si>
  <si>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</si>
  <si>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</si>
  <si>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</si>
  <si>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</si>
  <si>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</si>
  <si>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</si>
  <si>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</si>
  <si>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</si>
  <si>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</si>
  <si>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</si>
  <si>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</si>
  <si>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</si>
  <si>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</si>
  <si>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</si>
  <si>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</si>
  <si>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</si>
  <si>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</si>
  <si>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</si>
  <si>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</si>
  <si>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</si>
  <si>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</si>
  <si>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</si>
  <si>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</si>
  <si>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</si>
  <si>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</si>
  <si>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</si>
  <si>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</si>
  <si>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</si>
  <si>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</si>
  <si>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</si>
  <si>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</si>
  <si>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</si>
  <si>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</si>
  <si>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</si>
  <si>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</si>
  <si>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</si>
  <si>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</si>
  <si>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</si>
  <si>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</si>
  <si>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</si>
  <si>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</si>
  <si>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</si>
  <si>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</si>
  <si>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</si>
  <si>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</si>
  <si>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</si>
  <si>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</si>
  <si>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</si>
  <si>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</si>
  <si>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</si>
  <si>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</si>
  <si>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</si>
  <si>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</si>
  <si>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</si>
  <si>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</si>
  <si>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</si>
  <si>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</si>
  <si>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</si>
  <si>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</si>
  <si>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</si>
  <si>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</si>
  <si>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</si>
  <si>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</si>
  <si>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</si>
  <si>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</si>
  <si>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</si>
  <si>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</si>
  <si>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</si>
  <si>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</si>
  <si>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</si>
  <si>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</si>
  <si>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</si>
  <si>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</si>
  <si>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</si>
  <si>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</si>
  <si>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</si>
  <si>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</si>
  <si>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</si>
  <si>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</si>
  <si>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</si>
  <si>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</si>
  <si>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</si>
  <si>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</si>
  <si>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</si>
  <si>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</si>
  <si>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</si>
  <si>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</si>
  <si>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</si>
  <si>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</si>
  <si>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</si>
  <si>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</si>
  <si>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</si>
  <si>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</si>
  <si>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</si>
  <si>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</si>
  <si>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</si>
  <si>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</si>
  <si>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</si>
  <si>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</si>
  <si>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</si>
  <si>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</si>
  <si>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</si>
  <si>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</si>
  <si>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</si>
  <si>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</si>
  <si>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</si>
  <si>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</si>
  <si>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</si>
  <si>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</si>
  <si>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</si>
  <si>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</si>
  <si>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</si>
  <si>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</si>
  <si>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</si>
  <si>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</si>
  <si>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</si>
  <si>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</si>
  <si>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</si>
  <si>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</si>
  <si>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</si>
  <si>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</si>
  <si>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</si>
  <si>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</si>
  <si>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</si>
  <si>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</si>
  <si>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</si>
  <si>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</si>
  <si>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</si>
  <si>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</si>
  <si>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</si>
  <si>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</si>
  <si>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</si>
  <si>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</si>
  <si>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</si>
  <si>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</si>
  <si>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</si>
  <si>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</si>
  <si>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</si>
  <si>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</si>
  <si>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</si>
  <si>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</si>
  <si>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</si>
  <si>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</si>
  <si>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</si>
  <si>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</si>
  <si>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</si>
  <si>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</si>
  <si>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</si>
  <si>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</si>
  <si>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</si>
  <si>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</si>
  <si>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</si>
  <si>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</si>
  <si>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</si>
  <si>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</si>
  <si>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</si>
  <si>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</si>
  <si>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</si>
  <si>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</si>
  <si>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</si>
  <si>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</si>
  <si>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</si>
  <si>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</si>
  <si>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</si>
  <si>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</si>
  <si>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</si>
  <si>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</si>
  <si>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</si>
  <si>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</si>
  <si>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</si>
  <si>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</si>
  <si>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</si>
  <si>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</si>
  <si>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</si>
  <si>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</si>
  <si>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</si>
  <si>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</si>
  <si>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</si>
  <si>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</si>
  <si>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</si>
  <si>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</si>
  <si>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</si>
  <si>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</si>
  <si>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</si>
  <si>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</si>
  <si>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</si>
  <si>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</si>
  <si>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</si>
  <si>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</si>
  <si>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</si>
  <si>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</si>
  <si>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</si>
  <si>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</si>
  <si>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</si>
  <si>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</si>
  <si>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</si>
  <si>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</si>
  <si>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</si>
  <si>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</si>
  <si>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</si>
  <si>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</si>
  <si>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</si>
  <si>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</si>
  <si>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</si>
  <si>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</si>
  <si>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</si>
  <si>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</si>
  <si>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</si>
  <si>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</si>
  <si>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</si>
  <si>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</si>
  <si>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</si>
  <si>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</si>
  <si>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</si>
  <si>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</si>
  <si>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</si>
  <si>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</si>
  <si>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</si>
  <si>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</si>
  <si>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</si>
  <si>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</si>
  <si>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</si>
  <si>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</si>
  <si>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</si>
  <si>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</si>
  <si>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</si>
  <si>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</si>
  <si>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</si>
  <si>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</si>
  <si>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</si>
  <si>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</si>
  <si>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</si>
  <si>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</si>
  <si>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</si>
  <si>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</si>
  <si>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</si>
  <si>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</si>
  <si>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</si>
  <si>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</si>
  <si>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</si>
  <si>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</si>
  <si>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</si>
  <si>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</si>
  <si>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</si>
  <si>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</si>
  <si>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</si>
  <si>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</si>
  <si>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</si>
  <si>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</si>
  <si>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</si>
  <si>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</si>
  <si>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</si>
  <si>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</si>
  <si>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</si>
  <si>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</si>
  <si>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</si>
  <si>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</si>
  <si>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</si>
  <si>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</si>
  <si>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</si>
  <si>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</si>
  <si>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</si>
  <si>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</si>
  <si>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</si>
  <si>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</si>
  <si>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</si>
  <si>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</si>
  <si>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</si>
  <si>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</si>
  <si>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</si>
  <si>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</si>
  <si>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</si>
  <si>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</si>
  <si>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</si>
  <si>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</si>
  <si>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</si>
  <si>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</si>
  <si>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</si>
  <si>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</si>
  <si>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</si>
  <si>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</si>
  <si>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</si>
  <si>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</si>
  <si>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</si>
  <si>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</si>
  <si>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</si>
  <si>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</si>
  <si>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</si>
  <si>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</si>
  <si>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</si>
  <si>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</si>
  <si>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</si>
  <si>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</si>
  <si>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</si>
  <si>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</si>
  <si>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</si>
  <si>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</si>
  <si>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</si>
  <si>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</si>
  <si>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</si>
  <si>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</si>
  <si>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</si>
  <si>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</si>
  <si>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</si>
  <si>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</si>
  <si>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</si>
  <si>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</si>
  <si>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</si>
  <si>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</si>
  <si>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</si>
  <si>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</si>
  <si>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</si>
  <si>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</si>
  <si>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</si>
  <si>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</si>
  <si>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</si>
  <si>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</si>
  <si>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</si>
  <si>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</si>
  <si>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</si>
  <si>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</si>
  <si>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</si>
  <si>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</si>
  <si>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</si>
  <si>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</si>
  <si>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</si>
  <si>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</si>
  <si>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</si>
  <si>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</si>
  <si>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</si>
  <si>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</si>
  <si>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</si>
  <si>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</si>
  <si>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</si>
  <si>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</si>
  <si>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</si>
  <si>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</si>
  <si>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</si>
  <si>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</si>
  <si>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</si>
  <si>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</si>
  <si>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</si>
  <si>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</si>
  <si>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</si>
  <si>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</si>
  <si>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</si>
  <si>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</si>
  <si>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</si>
  <si>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</si>
  <si>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</si>
  <si>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</si>
  <si>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</si>
  <si>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</si>
  <si>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</si>
  <si>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</si>
  <si>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</si>
  <si>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</si>
  <si>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</si>
  <si>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</si>
  <si>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</si>
  <si>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</si>
  <si>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</si>
  <si>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</si>
  <si>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</si>
  <si>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</si>
  <si>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</si>
  <si>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</si>
  <si>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</si>
  <si>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</si>
  <si>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</si>
  <si>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</si>
  <si>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</si>
  <si>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</si>
  <si>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</si>
  <si>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</si>
  <si>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</si>
  <si>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</si>
  <si>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</si>
  <si>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</si>
  <si>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</si>
  <si>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</si>
  <si>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</si>
  <si>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</si>
  <si>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</si>
  <si>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</si>
  <si>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</si>
  <si>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</si>
  <si>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</si>
  <si>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</si>
  <si>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</si>
  <si>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</si>
  <si>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</si>
  <si>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</si>
  <si>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</si>
  <si>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</si>
  <si>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</si>
  <si>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</si>
  <si>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</si>
  <si>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</si>
  <si>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</si>
  <si>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</si>
  <si>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</si>
  <si>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</si>
  <si>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</si>
  <si>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</si>
  <si>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</si>
  <si>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</si>
  <si>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</si>
  <si>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</si>
  <si>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</si>
  <si>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</si>
  <si>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</si>
  <si>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</si>
  <si>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</si>
  <si>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</si>
  <si>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</si>
  <si>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</si>
  <si>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</si>
  <si>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</si>
  <si>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</si>
  <si>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</si>
  <si>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</si>
  <si>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</si>
  <si>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</si>
  <si>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</si>
  <si>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</si>
  <si>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</si>
  <si>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</si>
  <si>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</si>
  <si>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</si>
  <si>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</si>
  <si>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</si>
  <si>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</si>
  <si>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</si>
  <si>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</si>
  <si>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</si>
  <si>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</si>
  <si>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</si>
  <si>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</si>
  <si>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</si>
  <si>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</si>
  <si>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</si>
  <si>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</si>
  <si>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</si>
  <si>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</si>
  <si>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</si>
  <si>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</si>
  <si>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</si>
  <si>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</si>
  <si>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</si>
  <si>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</si>
  <si>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</si>
  <si>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</si>
  <si>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</si>
  <si>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</si>
  <si>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</si>
  <si>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</si>
  <si>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</si>
  <si>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</si>
  <si>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</si>
  <si>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</si>
  <si>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</si>
  <si>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</si>
  <si>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</si>
  <si>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</si>
  <si>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</si>
  <si>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</si>
  <si>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</si>
  <si>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</si>
  <si>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</si>
  <si>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</si>
  <si>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</si>
  <si>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</si>
  <si>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</si>
  <si>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</si>
  <si>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</si>
  <si>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</si>
  <si>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</si>
  <si>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</si>
  <si>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</si>
  <si>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</si>
  <si>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</si>
  <si>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</si>
  <si>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</si>
  <si>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</si>
  <si>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</si>
  <si>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</si>
  <si>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</si>
  <si>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</si>
  <si>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</si>
  <si>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</si>
  <si>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</si>
  <si>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</si>
  <si>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</si>
  <si>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</si>
  <si>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</si>
  <si>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</si>
  <si>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</si>
  <si>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</si>
  <si>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</si>
  <si>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</si>
  <si>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</si>
  <si>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</si>
  <si>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</si>
  <si>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</si>
  <si>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</si>
  <si>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</si>
  <si>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</si>
  <si>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</si>
  <si>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</si>
  <si>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</si>
  <si>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</si>
  <si>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</si>
  <si>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</si>
  <si>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</si>
  <si>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</si>
  <si>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</si>
  <si>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</si>
  <si>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</si>
  <si>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</si>
  <si>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</si>
  <si>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</si>
  <si>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</si>
  <si>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</si>
  <si>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</si>
  <si>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</si>
  <si>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</si>
  <si>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</si>
  <si>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</si>
  <si>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</si>
  <si>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</si>
  <si>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</si>
  <si>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</si>
  <si>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</si>
  <si>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</si>
  <si>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</si>
  <si>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</si>
  <si>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</si>
  <si>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</si>
  <si>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</si>
  <si>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</si>
  <si>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</si>
  <si>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</si>
  <si>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</si>
  <si>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</si>
  <si>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</si>
  <si>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</si>
  <si>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</si>
  <si>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</si>
  <si>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</si>
  <si>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</si>
  <si>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</si>
  <si>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</si>
  <si>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</si>
  <si>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</si>
  <si>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</si>
  <si>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</si>
  <si>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</si>
  <si>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</si>
  <si>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</si>
  <si>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</si>
  <si>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</si>
  <si>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</si>
  <si>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</si>
  <si>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</si>
  <si>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</si>
  <si>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</si>
  <si>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</si>
  <si>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</si>
  <si>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</si>
  <si>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</si>
  <si>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</si>
  <si>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</si>
  <si>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</si>
  <si>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</si>
  <si>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</si>
  <si>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</si>
  <si>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</si>
  <si>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</si>
  <si>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</si>
  <si>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</si>
  <si>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</si>
  <si>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</si>
  <si>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</si>
  <si>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</si>
  <si>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</si>
  <si>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</si>
  <si>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</si>
  <si>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</si>
  <si>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</si>
  <si>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</si>
  <si>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</si>
  <si>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</si>
  <si>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</si>
  <si>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</si>
  <si>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</si>
  <si>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</si>
  <si>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</si>
  <si>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</si>
  <si>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</si>
  <si>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</si>
  <si>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</si>
  <si>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</si>
  <si>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</si>
  <si>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</si>
  <si>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</si>
  <si>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</si>
  <si>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</si>
  <si>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</si>
  <si>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</si>
  <si>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</si>
  <si>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</si>
  <si>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</si>
  <si>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</si>
  <si>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</si>
  <si>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</si>
  <si>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</si>
  <si>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</si>
  <si>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</si>
  <si>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</si>
  <si>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</si>
  <si>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</si>
  <si>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</si>
  <si>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</si>
  <si>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</si>
  <si>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</si>
  <si>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</si>
  <si>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</si>
  <si>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</si>
  <si>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</si>
  <si>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</si>
  <si>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</si>
  <si>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</si>
  <si>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</si>
  <si>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</si>
  <si>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</si>
  <si>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</si>
  <si>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</si>
  <si>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</si>
  <si>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</si>
  <si>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</si>
  <si>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</si>
  <si>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</si>
  <si>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</si>
  <si>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</si>
  <si>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</si>
  <si>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</si>
  <si>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</si>
  <si>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</si>
  <si>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</si>
  <si>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</si>
  <si>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</si>
  <si>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</si>
  <si>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</si>
  <si>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</si>
  <si>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</si>
  <si>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</si>
  <si>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</si>
  <si>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</si>
  <si>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</si>
  <si>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</si>
  <si>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</si>
  <si>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</si>
  <si>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</si>
  <si>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</si>
  <si>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</si>
  <si>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</si>
  <si>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</si>
  <si>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</si>
  <si>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</si>
  <si>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</si>
  <si>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</si>
  <si>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</si>
  <si>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</si>
  <si>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</si>
  <si>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</si>
  <si>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</si>
  <si>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</si>
  <si>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</si>
  <si>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</si>
  <si>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</si>
  <si>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</si>
  <si>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</si>
  <si>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</si>
  <si>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</si>
  <si>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</si>
  <si>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</si>
  <si>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</si>
  <si>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</si>
  <si>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</si>
  <si>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</si>
  <si>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</si>
  <si>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</si>
  <si>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</si>
  <si>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</si>
  <si>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</si>
  <si>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</si>
  <si>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</si>
  <si>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</si>
  <si>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</si>
  <si>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</si>
  <si>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</si>
  <si>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</si>
  <si>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</si>
  <si>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</si>
  <si>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</si>
  <si>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</si>
  <si>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</si>
  <si>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</si>
  <si>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</si>
  <si>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</si>
  <si>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</si>
  <si>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</si>
  <si>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</si>
  <si>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</si>
  <si>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</si>
  <si>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</si>
  <si>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</si>
  <si>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</si>
  <si>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</si>
  <si>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</si>
  <si>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</si>
  <si>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</si>
  <si>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</si>
  <si>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</si>
  <si>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</si>
  <si>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</si>
  <si>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</si>
  <si>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</si>
  <si>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</si>
  <si>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</si>
  <si>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</si>
  <si>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</si>
  <si>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</si>
  <si>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</si>
  <si>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</si>
  <si>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</si>
  <si>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</si>
  <si>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</si>
  <si>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</si>
  <si>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</si>
  <si>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</si>
  <si>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</si>
  <si>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</si>
  <si>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</si>
  <si>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</si>
  <si>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</si>
  <si>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</si>
  <si>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</si>
  <si>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</si>
  <si>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</si>
  <si>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</si>
  <si>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</si>
  <si>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</si>
  <si>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</si>
  <si>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</si>
  <si>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</si>
  <si>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</si>
  <si>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</si>
  <si>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</si>
  <si>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</si>
  <si>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</si>
  <si>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</si>
  <si>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</si>
  <si>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</si>
  <si>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</si>
  <si>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</si>
  <si>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</si>
  <si>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</si>
  <si>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</si>
  <si>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</si>
  <si>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</si>
  <si>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</si>
  <si>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</si>
  <si>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</si>
  <si>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</si>
  <si>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</si>
  <si>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</si>
  <si>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</si>
  <si>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</si>
  <si>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</si>
  <si>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</si>
  <si>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</si>
  <si>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</si>
  <si>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</si>
  <si>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</si>
  <si>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</si>
  <si>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</si>
  <si>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</si>
  <si>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</si>
  <si>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</si>
  <si>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</si>
  <si>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</si>
  <si>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</si>
  <si>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</si>
  <si>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</si>
  <si>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</si>
  <si>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</si>
  <si>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</si>
  <si>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</si>
  <si>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</si>
  <si>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</si>
  <si>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</si>
  <si>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</si>
  <si>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</si>
  <si>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</si>
  <si>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</si>
  <si>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</si>
  <si>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</si>
  <si>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</si>
  <si>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</si>
  <si>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</si>
  <si>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</si>
  <si>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</si>
  <si>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</si>
  <si>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</si>
  <si>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</si>
  <si>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</si>
  <si>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</si>
  <si>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</si>
  <si>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</si>
  <si>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</si>
  <si>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</si>
  <si>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</si>
  <si>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</si>
  <si>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</si>
  <si>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</si>
  <si>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</si>
  <si>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</si>
  <si>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</si>
  <si>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</si>
  <si>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</si>
  <si>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</si>
  <si>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</si>
  <si>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</si>
  <si>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</si>
  <si>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</si>
  <si>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</si>
  <si>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</si>
  <si>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</si>
  <si>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</si>
  <si>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</si>
  <si>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</si>
  <si>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</si>
  <si>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</si>
  <si>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</si>
  <si>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</si>
  <si>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</si>
  <si>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</si>
  <si>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</si>
  <si>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</si>
  <si>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</si>
  <si>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</si>
  <si>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</si>
  <si>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</si>
  <si>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</si>
  <si>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</si>
  <si>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</si>
  <si>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</si>
  <si>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</si>
  <si>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</si>
  <si>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</si>
  <si>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</si>
  <si>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</si>
  <si>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</si>
  <si>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</si>
  <si>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</si>
  <si>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</si>
  <si>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</si>
  <si>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</si>
  <si>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</si>
  <si>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</si>
  <si>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</si>
  <si>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</si>
  <si>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</si>
  <si>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</si>
  <si>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</si>
  <si>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</si>
  <si>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</si>
  <si>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</si>
  <si>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</si>
  <si>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</si>
  <si>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</si>
  <si>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</si>
  <si>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</si>
  <si>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</si>
  <si>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</si>
  <si>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</si>
  <si>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</si>
  <si>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</si>
  <si>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</si>
  <si>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</si>
  <si>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</si>
  <si>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</si>
  <si>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</si>
  <si>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</si>
  <si>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</si>
  <si>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</si>
  <si>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</si>
  <si>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</si>
  <si>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</si>
  <si>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</si>
  <si>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</si>
  <si>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</si>
  <si>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</si>
  <si>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</si>
  <si>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</si>
  <si>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</si>
  <si>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</si>
  <si>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</si>
  <si>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</si>
  <si>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</si>
  <si>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</si>
  <si>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</si>
  <si>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</si>
  <si>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</si>
  <si>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</si>
  <si>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</si>
  <si>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</si>
  <si>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</si>
  <si>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</si>
  <si>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</si>
  <si>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</si>
  <si>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</si>
  <si>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</si>
  <si>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</si>
  <si>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</si>
  <si>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</si>
  <si>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</si>
  <si>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</si>
  <si>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</si>
  <si>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</si>
  <si>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</si>
  <si>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</si>
  <si>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</si>
  <si>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</si>
  <si>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</si>
  <si>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</si>
  <si>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</si>
  <si>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</si>
  <si>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</si>
  <si>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</si>
  <si>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</si>
  <si>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</si>
  <si>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</si>
  <si>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</si>
  <si>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</si>
  <si>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</si>
  <si>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</si>
  <si>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</si>
  <si>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</si>
  <si>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</si>
  <si>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</si>
  <si>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</si>
  <si>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</si>
  <si>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</si>
  <si>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</si>
  <si>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</si>
  <si>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</si>
  <si>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</si>
  <si>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</si>
  <si>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</si>
  <si>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</si>
  <si>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</si>
  <si>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</si>
  <si>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</si>
  <si>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</si>
  <si>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</si>
  <si>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</si>
  <si>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</si>
  <si>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</si>
  <si>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</si>
  <si>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</si>
  <si>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</si>
  <si>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</si>
  <si>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</si>
  <si>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</si>
  <si>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</si>
  <si>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</si>
  <si>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</si>
  <si>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</si>
  <si>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</si>
  <si>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</si>
  <si>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</si>
  <si>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</si>
  <si>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</si>
  <si>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</si>
  <si>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</si>
  <si>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</si>
  <si>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</si>
  <si>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</si>
  <si>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</si>
  <si>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</si>
  <si>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</si>
  <si>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</si>
  <si>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</si>
  <si>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</si>
  <si>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</si>
  <si>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</si>
  <si>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</si>
  <si>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</si>
  <si>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</si>
  <si>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</si>
  <si>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</si>
  <si>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</si>
  <si>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</si>
  <si>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</si>
  <si>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</si>
  <si>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</si>
  <si>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</si>
  <si>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</si>
  <si>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</si>
  <si>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</si>
  <si>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</si>
  <si>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</si>
  <si>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</si>
  <si>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</si>
  <si>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</si>
  <si>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</si>
  <si>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</si>
  <si>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</si>
  <si>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</si>
  <si>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</si>
  <si>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</si>
  <si>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</si>
  <si>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</si>
  <si>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</si>
  <si>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</si>
  <si>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</si>
  <si>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</si>
  <si>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</si>
  <si>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</si>
  <si>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</si>
  <si>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</si>
  <si>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</si>
  <si>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</si>
  <si>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</si>
  <si>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</si>
  <si>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</si>
  <si>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GIRONA</t>
  </si>
  <si>
    <t>Resumenes por Partidos Judiciales</t>
  </si>
  <si>
    <t>SANTA COLOMA DE FARNERS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</si>
</sst>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DEz41BpwfDyp8Qd26BaqT+h607OAwPkBqLbWJGv44ahEEvo+kmwH9aFk91ubXIwR7ftA8NBMBacJvBAfL539A==" saltValue="x+s6aaL7HHXQeLxn3v+S3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38</v>
      </c>
      <c r="D10" s="239">
        <f>IF(ISNUMBER(Datos!I10),Datos!I10," - ")</f>
        <v>38</v>
      </c>
      <c r="E10" s="240">
        <f>IF(ISNUMBER(Datos!J10),Datos!J10," - ")</f>
        <v>15</v>
      </c>
      <c r="F10" s="240">
        <f>IF(ISNUMBER(Datos!K10),Datos!K10," - ")</f>
        <v>18</v>
      </c>
      <c r="G10" s="1390" t="str">
        <f>IF(Datos!E10&lt;&gt;"",Datos!E10,Datos!D10)</f>
        <v>37</v>
      </c>
      <c r="H10" s="241">
        <f>IF(ISNUMBER(Datos!L10),Datos!L10," - ")</f>
        <v>35</v>
      </c>
      <c r="I10" s="1400" t="str">
        <f>IF(ISNUMBER(Datos!AS10/Datos!BM10),Datos!AS10/Datos!BM10," - ")</f>
        <v xml:space="preserve"> - </v>
      </c>
      <c r="J10" s="1401">
        <f>IF(ISNUMBER(Datos!BY10/Datos!CN10),Datos!BY10/Datos!CN10," - ")</f>
        <v>0</v>
      </c>
      <c r="K10" s="244">
        <f t="shared" ref="K10:K13" si="1">IF(ISNUMBER((E10-F10)/C10),(E10-F10)/C10," - ")</f>
        <v>-7.8947368421052627E-2</v>
      </c>
      <c r="L10" s="1402">
        <f>IF(ISNUMBER(NºAsuntos!I10/NºAsuntos!G10),(NºAsuntos!I10/NºAsuntos!G10)*11," - ")</f>
        <v>21.388888888888889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45.441105769230766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38</v>
      </c>
      <c r="D14" s="1407">
        <f>SUBTOTAL(9,D9:D13)</f>
        <v>38</v>
      </c>
      <c r="E14" s="1408">
        <f>SUBTOTAL(9,E9:E13)</f>
        <v>15</v>
      </c>
      <c r="F14" s="1409">
        <f>SUBTOTAL(9,F9:F13)</f>
        <v>18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1811</v>
      </c>
      <c r="D17" s="239">
        <f>IF(ISNUMBER(IF(D_I="SI",Datos!I17,Datos!I17+Datos!AC17)),IF(D_I="SI",Datos!I17,Datos!I17+Datos!AC17)," - ")</f>
        <v>1811</v>
      </c>
      <c r="E17" s="240">
        <f>IF(ISNUMBER(IF(D_I="SI",Datos!J17,Datos!J17+Datos!AD17)),IF(D_I="SI",Datos!J17,Datos!J17+Datos!AD17)," - ")</f>
        <v>1107</v>
      </c>
      <c r="F17" s="240">
        <f>IF(ISNUMBER(IF(D_I="SI",Datos!K17,Datos!K17+Datos!AE17)),IF(D_I="SI",Datos!K17,Datos!K17+Datos!AE17)," - ")</f>
        <v>994</v>
      </c>
      <c r="G17" s="1390" t="str">
        <f>IF(Datos!E17&lt;&gt;"",Datos!E17,Datos!D17)</f>
        <v>04</v>
      </c>
      <c r="H17" s="241">
        <f>IF(ISNUMBER(IF(D_I="SI",Datos!L17,Datos!L17+Datos!AF17)),IF(D_I="SI",Datos!L17,Datos!L17+Datos!AF17)," - ")</f>
        <v>1924</v>
      </c>
      <c r="I17" s="1400" t="str">
        <f>IF(ISNUMBER(Datos!AS17/Datos!BM17),Datos!AS17/Datos!BM17," - ")</f>
        <v xml:space="preserve"> - </v>
      </c>
      <c r="J17" s="1401">
        <f>IF(ISNUMBER(Datos!BY17/Datos!CN17),Datos!BY17/Datos!CN17," - ")</f>
        <v>0</v>
      </c>
      <c r="K17" s="244">
        <f t="shared" si="3"/>
        <v>6.2396466040861402E-2</v>
      </c>
      <c r="L17" s="1402">
        <f>IF(ISNUMBER(NºAsuntos!I17/NºAsuntos!G17),(NºAsuntos!I17/NºAsuntos!G17)*11," - ")</f>
        <v>21.291750503018108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80</v>
      </c>
      <c r="D18" s="239">
        <f>IF(ISNUMBER(IF(D_I="SI",Datos!I18,Datos!I18+Datos!AC18)),IF(D_I="SI",Datos!I18,Datos!I18+Datos!AC18)," - ")</f>
        <v>80</v>
      </c>
      <c r="E18" s="240">
        <f>IF(ISNUMBER(IF(D_I="SI",Datos!J18,Datos!J18+Datos!AD18)),IF(D_I="SI",Datos!J18,Datos!J18+Datos!AD18)," - ")</f>
        <v>128</v>
      </c>
      <c r="F18" s="240">
        <f>IF(ISNUMBER(IF(D_I="SI",Datos!K18,Datos!K18+Datos!AE18)),IF(D_I="SI",Datos!K18,Datos!K18+Datos!AE18)," - ")</f>
        <v>124</v>
      </c>
      <c r="G18" s="1390" t="str">
        <f>IF(Datos!E18&lt;&gt;"",Datos!E18,Datos!D18)</f>
        <v>37</v>
      </c>
      <c r="H18" s="241">
        <f>IF(ISNUMBER(IF(D_I="SI",Datos!L18,Datos!L18+Datos!AF18)),IF(D_I="SI",Datos!L18,Datos!L18+Datos!AF18)," - ")</f>
        <v>84</v>
      </c>
      <c r="I18" s="1400" t="str">
        <f>IF(ISNUMBER(Datos!AS18/Datos!BM18),Datos!AS18/Datos!BM18," - ")</f>
        <v xml:space="preserve"> - </v>
      </c>
      <c r="J18" s="1401" t="str">
        <f>IF(ISNUMBER((Datos!BY18+Datos!BZ18)/Datos!CN18),(Datos!BY18+Datos!BZ18)/Datos!CN18," - ")</f>
        <v xml:space="preserve"> - </v>
      </c>
      <c r="K18" s="244">
        <f t="shared" si="3"/>
        <v>0.05</v>
      </c>
      <c r="L18" s="1402">
        <f>IF(ISNUMBER(NºAsuntos!I18/NºAsuntos!G18),(NºAsuntos!I18/NºAsuntos!G18)*11," - ")</f>
        <v>7.4516129032258061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1891</v>
      </c>
      <c r="D23" s="1407">
        <f>SUBTOTAL(9,D16:D22)</f>
        <v>1891</v>
      </c>
      <c r="E23" s="1408">
        <f>SUBTOTAL(9,E16:E22)</f>
        <v>1235</v>
      </c>
      <c r="F23" s="1408">
        <f>SUBTOTAL(9,F16:F22)</f>
        <v>1118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1929</v>
      </c>
      <c r="D31" s="1435">
        <f>SUBTOTAL(9,D9:D30)</f>
        <v>1929</v>
      </c>
      <c r="E31" s="1436">
        <f>SUBTOTAL(9,E9:E30)</f>
        <v>1250</v>
      </c>
      <c r="F31" s="1436">
        <f>SUBTOTAL(9,F9:F30)</f>
        <v>1136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UTLJzzHcdPR9FWPxfCqdNd5l2IuRDeunGCbdK6X9IyvsIvd6b628kizynE4VtY/j6beZSqKPLCPOvHYWkUC9Zg==" saltValue="LpwjfSPwdvGBTCYTFl1ks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ED8psDmNnQql4c+MrTzd2j6lj2kKlrHv1xMhBZAE3U66Ydf6FcS/7dqs29m6Fx6JByFTGgR8TIJ5Nnhl4zIQw==" saltValue="MMKm2iufRoImvh+iKgR5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38</v>
      </c>
      <c r="J10" s="194">
        <v>15</v>
      </c>
      <c r="K10" s="194">
        <v>18</v>
      </c>
      <c r="L10" s="194">
        <v>35</v>
      </c>
      <c r="M10" s="194">
        <v>7</v>
      </c>
      <c r="N10" s="194">
        <v>7</v>
      </c>
      <c r="O10" s="194">
        <v>6</v>
      </c>
      <c r="P10" s="194">
        <v>1</v>
      </c>
      <c r="Q10" s="194">
        <v>2</v>
      </c>
      <c r="R10" s="194">
        <v>40</v>
      </c>
      <c r="S10" s="194">
        <v>48</v>
      </c>
      <c r="T10" s="194">
        <v>16</v>
      </c>
      <c r="U10" s="194">
        <v>10</v>
      </c>
      <c r="V10" s="194">
        <v>54</v>
      </c>
      <c r="W10" s="194">
        <v>4</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48</v>
      </c>
      <c r="AZ10" s="139">
        <f t="shared" si="0"/>
        <v>16</v>
      </c>
      <c r="BA10" s="139">
        <f t="shared" si="0"/>
        <v>10</v>
      </c>
      <c r="BB10" s="139">
        <f t="shared" si="0"/>
        <v>54</v>
      </c>
      <c r="BC10" s="135">
        <f t="shared" si="0"/>
        <v>4</v>
      </c>
      <c r="BD10" s="136">
        <f>IF(ISNUMBER(BA10/AZ10),BA10/AZ10," - ")</f>
        <v>0.625</v>
      </c>
      <c r="BE10" s="137">
        <f>IF(ISNUMBER(BB10/BA10),BB10/BA10, " - ")</f>
        <v>5.4</v>
      </c>
      <c r="BF10" s="137">
        <f>IF(ISNUMBER(BC10/BA10),BC10/BA10, " - ")</f>
        <v>0.4</v>
      </c>
      <c r="BG10" s="209">
        <f>IF(ISNUMBER((AY10+AZ10)/BA10),(AY10+AZ10)/BA10," - ")</f>
        <v>6.4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3180</v>
      </c>
      <c r="J12" s="196">
        <v>1037</v>
      </c>
      <c r="K12" s="196">
        <v>806</v>
      </c>
      <c r="L12" s="196">
        <v>3411</v>
      </c>
      <c r="M12" s="196">
        <v>164</v>
      </c>
      <c r="N12" s="196">
        <v>310</v>
      </c>
      <c r="O12" s="194">
        <v>352</v>
      </c>
      <c r="P12" s="196">
        <v>228</v>
      </c>
      <c r="Q12" s="196">
        <v>217</v>
      </c>
      <c r="R12" s="196">
        <v>4741</v>
      </c>
      <c r="S12" s="196">
        <v>2481</v>
      </c>
      <c r="T12" s="196">
        <v>770</v>
      </c>
      <c r="U12" s="196">
        <v>724</v>
      </c>
      <c r="V12" s="196">
        <v>2464</v>
      </c>
      <c r="W12" s="196">
        <v>169</v>
      </c>
      <c r="X12" s="202">
        <v>254</v>
      </c>
      <c r="Y12" s="204">
        <v>25</v>
      </c>
      <c r="Z12" s="194">
        <v>27</v>
      </c>
      <c r="AA12" s="194">
        <v>26</v>
      </c>
      <c r="AB12" s="194">
        <v>26</v>
      </c>
      <c r="AC12" s="196">
        <v>0</v>
      </c>
      <c r="AD12" s="196">
        <v>0</v>
      </c>
      <c r="AE12" s="196">
        <v>0</v>
      </c>
      <c r="AF12" s="202">
        <v>0</v>
      </c>
      <c r="AG12" s="215">
        <v>28</v>
      </c>
      <c r="AH12" s="196">
        <v>34</v>
      </c>
      <c r="AI12" s="196">
        <v>22</v>
      </c>
      <c r="AJ12" s="216">
        <v>40</v>
      </c>
      <c r="AK12" s="195">
        <v>0</v>
      </c>
      <c r="AL12" s="196">
        <v>0</v>
      </c>
      <c r="AM12" s="196">
        <v>0</v>
      </c>
      <c r="AN12" s="202">
        <v>0</v>
      </c>
      <c r="AO12" s="283">
        <v>4</v>
      </c>
      <c r="AP12" s="168">
        <v>4</v>
      </c>
      <c r="AQ12" s="168">
        <v>4</v>
      </c>
      <c r="AR12" s="167">
        <v>4</v>
      </c>
      <c r="AS12" s="381" t="s">
        <v>1075</v>
      </c>
      <c r="AT12" s="216"/>
      <c r="AU12" s="215"/>
      <c r="AV12" s="216"/>
      <c r="AW12" s="215"/>
      <c r="AX12" s="216"/>
      <c r="AY12" s="136">
        <f t="shared" si="1"/>
        <v>2509</v>
      </c>
      <c r="AZ12" s="137">
        <f t="shared" si="1"/>
        <v>804</v>
      </c>
      <c r="BA12" s="137">
        <f t="shared" si="1"/>
        <v>746</v>
      </c>
      <c r="BB12" s="137">
        <f t="shared" si="1"/>
        <v>2504</v>
      </c>
      <c r="BC12" s="135">
        <f>IF(ISNUMBER(X12),X12," - ")</f>
        <v>254</v>
      </c>
      <c r="BD12" s="136">
        <f t="shared" si="2"/>
        <v>0.92786069651741299</v>
      </c>
      <c r="BE12" s="137">
        <f t="shared" si="3"/>
        <v>3.3565683646112601</v>
      </c>
      <c r="BF12" s="137">
        <f t="shared" si="4"/>
        <v>0.34048257372654156</v>
      </c>
      <c r="BG12" s="209">
        <f t="shared" si="5"/>
        <v>4.4410187667560326</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3218</v>
      </c>
      <c r="J14" s="197">
        <f t="shared" si="7"/>
        <v>1052</v>
      </c>
      <c r="K14" s="197">
        <f t="shared" si="7"/>
        <v>824</v>
      </c>
      <c r="L14" s="197">
        <f t="shared" si="7"/>
        <v>3446</v>
      </c>
      <c r="M14" s="197">
        <f t="shared" si="7"/>
        <v>171</v>
      </c>
      <c r="N14" s="197">
        <f t="shared" si="7"/>
        <v>317</v>
      </c>
      <c r="O14" s="197">
        <f t="shared" si="7"/>
        <v>358</v>
      </c>
      <c r="P14" s="197">
        <f t="shared" si="7"/>
        <v>229</v>
      </c>
      <c r="Q14" s="197">
        <f t="shared" si="7"/>
        <v>219</v>
      </c>
      <c r="R14" s="197">
        <f t="shared" si="7"/>
        <v>4781</v>
      </c>
      <c r="S14" s="197">
        <f t="shared" si="7"/>
        <v>2529</v>
      </c>
      <c r="T14" s="197">
        <f t="shared" si="7"/>
        <v>786</v>
      </c>
      <c r="U14" s="197">
        <f t="shared" si="7"/>
        <v>734</v>
      </c>
      <c r="V14" s="197">
        <f t="shared" si="7"/>
        <v>2518</v>
      </c>
      <c r="W14" s="197">
        <f t="shared" si="7"/>
        <v>173</v>
      </c>
      <c r="X14" s="197">
        <f t="shared" si="7"/>
        <v>255</v>
      </c>
      <c r="Y14" s="197">
        <f t="shared" si="7"/>
        <v>25</v>
      </c>
      <c r="Z14" s="197">
        <f t="shared" si="7"/>
        <v>27</v>
      </c>
      <c r="AA14" s="197">
        <f t="shared" si="7"/>
        <v>26</v>
      </c>
      <c r="AB14" s="197">
        <f t="shared" si="7"/>
        <v>26</v>
      </c>
      <c r="AC14" s="197">
        <f t="shared" si="7"/>
        <v>0</v>
      </c>
      <c r="AD14" s="197">
        <f t="shared" si="7"/>
        <v>0</v>
      </c>
      <c r="AE14" s="197">
        <f t="shared" si="7"/>
        <v>0</v>
      </c>
      <c r="AF14" s="197">
        <f>SUBTOTAL(9,AF9:AF13)</f>
        <v>0</v>
      </c>
      <c r="AG14" s="197">
        <f t="shared" ref="AG14:AT14" si="8">SUBTOTAL(9,AG8:AG13)</f>
        <v>28</v>
      </c>
      <c r="AH14" s="197">
        <f t="shared" si="8"/>
        <v>34</v>
      </c>
      <c r="AI14" s="197">
        <f t="shared" si="8"/>
        <v>22</v>
      </c>
      <c r="AJ14" s="197">
        <f t="shared" si="8"/>
        <v>40</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2557</v>
      </c>
      <c r="AZ14" s="197">
        <f>SUBTOTAL(9,AZ8:AZ13)</f>
        <v>820</v>
      </c>
      <c r="BA14" s="197">
        <f>SUBTOTAL(9,BA8:BA13)</f>
        <v>756</v>
      </c>
      <c r="BB14" s="197">
        <f>SUBTOTAL(9,BB8:BB13)</f>
        <v>2558</v>
      </c>
      <c r="BC14" s="197">
        <f>SUBTOTAL(9,BC8:BC13)</f>
        <v>258</v>
      </c>
      <c r="BD14" s="219">
        <f>IF(ISNUMBER(BA14/AZ14),BA14/AZ14," - ")</f>
        <v>0.92195121951219516</v>
      </c>
      <c r="BE14" s="220">
        <f>IF(ISNUMBER(BB14/BA14),BB14/BA14, " - ")</f>
        <v>3.3835978835978837</v>
      </c>
      <c r="BF14" s="220">
        <f>IF(ISNUMBER(BC14/BA14),BC14/BA14, " - ")</f>
        <v>0.34126984126984128</v>
      </c>
      <c r="BG14" s="221">
        <f>IF(ISNUMBER((AY14+AZ14)/BA14),(AY14+AZ14)/BA14," - ")</f>
        <v>4.4669312169312168</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1811</v>
      </c>
      <c r="J17" s="196">
        <v>1107</v>
      </c>
      <c r="K17" s="196">
        <v>994</v>
      </c>
      <c r="L17" s="196">
        <v>1924</v>
      </c>
      <c r="M17" s="196">
        <v>114</v>
      </c>
      <c r="N17" s="196">
        <v>567</v>
      </c>
      <c r="O17" s="194">
        <v>0</v>
      </c>
      <c r="P17" s="196">
        <v>13</v>
      </c>
      <c r="Q17" s="196">
        <v>9</v>
      </c>
      <c r="R17" s="196">
        <v>150</v>
      </c>
      <c r="S17" s="196">
        <v>1450</v>
      </c>
      <c r="T17" s="196">
        <v>1259</v>
      </c>
      <c r="U17" s="196">
        <v>1094</v>
      </c>
      <c r="V17" s="196">
        <v>1529</v>
      </c>
      <c r="W17" s="196">
        <v>116</v>
      </c>
      <c r="X17" s="202">
        <v>661</v>
      </c>
      <c r="Y17" s="215">
        <v>0</v>
      </c>
      <c r="Z17" s="196">
        <v>0</v>
      </c>
      <c r="AA17" s="196">
        <v>0</v>
      </c>
      <c r="AB17" s="196">
        <v>0</v>
      </c>
      <c r="AC17" s="196">
        <v>0</v>
      </c>
      <c r="AD17" s="196">
        <v>7</v>
      </c>
      <c r="AE17" s="196">
        <v>7</v>
      </c>
      <c r="AF17" s="202">
        <v>0</v>
      </c>
      <c r="AG17" s="215">
        <v>0</v>
      </c>
      <c r="AH17" s="196">
        <v>0</v>
      </c>
      <c r="AI17" s="196">
        <v>0</v>
      </c>
      <c r="AJ17" s="216">
        <v>0</v>
      </c>
      <c r="AK17" s="195">
        <v>0</v>
      </c>
      <c r="AL17" s="196">
        <v>39</v>
      </c>
      <c r="AM17" s="196">
        <v>39</v>
      </c>
      <c r="AN17" s="202">
        <v>0</v>
      </c>
      <c r="AO17" s="283">
        <v>4</v>
      </c>
      <c r="AP17" s="168">
        <v>4</v>
      </c>
      <c r="AQ17" s="168">
        <v>4</v>
      </c>
      <c r="AR17" s="168">
        <v>4</v>
      </c>
      <c r="AS17" s="381" t="s">
        <v>650</v>
      </c>
      <c r="AT17" s="216"/>
      <c r="AU17" s="215"/>
      <c r="AV17" s="216"/>
      <c r="AW17" s="215"/>
      <c r="AX17" s="216"/>
      <c r="AY17" s="136">
        <f t="shared" si="10"/>
        <v>1450</v>
      </c>
      <c r="AZ17" s="137">
        <f t="shared" si="10"/>
        <v>1259</v>
      </c>
      <c r="BA17" s="137">
        <f t="shared" si="10"/>
        <v>1094</v>
      </c>
      <c r="BB17" s="137">
        <f t="shared" si="10"/>
        <v>1529</v>
      </c>
      <c r="BC17" s="135">
        <f>IF(ISNUMBER(W17),W17," - ")</f>
        <v>116</v>
      </c>
      <c r="BD17" s="136">
        <f t="shared" ref="BD17:BD22" si="12">IF(ISNUMBER(BA17/AZ17),BA17/AZ17," - ")</f>
        <v>0.86894360603653698</v>
      </c>
      <c r="BE17" s="137">
        <f t="shared" ref="BE17:BE22" si="13">IF(ISNUMBER(BB17/BA17),BB17/BA17, " - ")</f>
        <v>1.3976234003656307</v>
      </c>
      <c r="BF17" s="137">
        <f t="shared" ref="BF17:BF22" si="14">IF(ISNUMBER(BC17/BA17),BC17/BA17, " - ")</f>
        <v>0.10603290676416818</v>
      </c>
      <c r="BG17" s="209">
        <f t="shared" si="11"/>
        <v>2.4762340036563071</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80</v>
      </c>
      <c r="J18" s="196">
        <v>128</v>
      </c>
      <c r="K18" s="196">
        <v>124</v>
      </c>
      <c r="L18" s="196">
        <v>84</v>
      </c>
      <c r="M18" s="196">
        <v>5</v>
      </c>
      <c r="N18" s="196">
        <v>33</v>
      </c>
      <c r="O18" s="196">
        <v>0</v>
      </c>
      <c r="P18" s="196">
        <v>0</v>
      </c>
      <c r="Q18" s="196">
        <v>0</v>
      </c>
      <c r="R18" s="196">
        <v>0</v>
      </c>
      <c r="S18" s="196">
        <v>146</v>
      </c>
      <c r="T18" s="196">
        <v>127</v>
      </c>
      <c r="U18" s="196">
        <v>149</v>
      </c>
      <c r="V18" s="196">
        <v>124</v>
      </c>
      <c r="W18" s="196">
        <v>3</v>
      </c>
      <c r="X18" s="202">
        <v>22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146</v>
      </c>
      <c r="AZ18" s="139">
        <f t="shared" si="15"/>
        <v>127</v>
      </c>
      <c r="BA18" s="139">
        <f t="shared" si="15"/>
        <v>149</v>
      </c>
      <c r="BB18" s="139">
        <f t="shared" si="15"/>
        <v>124</v>
      </c>
      <c r="BC18" s="135">
        <f>IF(ISNUMBER(W18),W18," - ")</f>
        <v>3</v>
      </c>
      <c r="BD18" s="136">
        <f>IF(ISNUMBER(BA18/AZ18),BA18/AZ18," - ")</f>
        <v>1.1732283464566928</v>
      </c>
      <c r="BE18" s="137">
        <f>IF(ISNUMBER(BB18/BA18),BB18/BA18, " - ")</f>
        <v>0.83221476510067116</v>
      </c>
      <c r="BF18" s="137">
        <f>IF(ISNUMBER(BC18/BA18),BC18/BA18, " - ")</f>
        <v>2.0134228187919462E-2</v>
      </c>
      <c r="BG18" s="209">
        <f>IF(ISNUMBER((AY18+AZ18)/BA18),(AY18+AZ18)/BA18," - ")</f>
        <v>1.8322147651006711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1891</v>
      </c>
      <c r="J23" s="197">
        <f t="shared" si="21"/>
        <v>1235</v>
      </c>
      <c r="K23" s="197">
        <f t="shared" si="21"/>
        <v>1118</v>
      </c>
      <c r="L23" s="197">
        <f t="shared" si="21"/>
        <v>2008</v>
      </c>
      <c r="M23" s="197">
        <f t="shared" si="21"/>
        <v>119</v>
      </c>
      <c r="N23" s="197">
        <f t="shared" si="21"/>
        <v>600</v>
      </c>
      <c r="O23" s="197">
        <f t="shared" si="21"/>
        <v>0</v>
      </c>
      <c r="P23" s="197">
        <f t="shared" si="21"/>
        <v>13</v>
      </c>
      <c r="Q23" s="197">
        <f t="shared" si="21"/>
        <v>9</v>
      </c>
      <c r="R23" s="197">
        <f t="shared" si="21"/>
        <v>150</v>
      </c>
      <c r="S23" s="197">
        <f t="shared" si="21"/>
        <v>1596</v>
      </c>
      <c r="T23" s="197">
        <f t="shared" si="21"/>
        <v>1386</v>
      </c>
      <c r="U23" s="197">
        <f t="shared" si="21"/>
        <v>1243</v>
      </c>
      <c r="V23" s="197">
        <f t="shared" si="21"/>
        <v>1653</v>
      </c>
      <c r="W23" s="197">
        <f t="shared" si="21"/>
        <v>119</v>
      </c>
      <c r="X23" s="197">
        <f t="shared" si="21"/>
        <v>683</v>
      </c>
      <c r="Y23" s="197">
        <f t="shared" si="21"/>
        <v>0</v>
      </c>
      <c r="Z23" s="197">
        <f t="shared" si="21"/>
        <v>0</v>
      </c>
      <c r="AA23" s="197">
        <f t="shared" si="21"/>
        <v>0</v>
      </c>
      <c r="AB23" s="197">
        <f t="shared" si="21"/>
        <v>0</v>
      </c>
      <c r="AC23" s="197">
        <f t="shared" si="21"/>
        <v>0</v>
      </c>
      <c r="AD23" s="197">
        <f t="shared" si="21"/>
        <v>7</v>
      </c>
      <c r="AE23" s="197">
        <f t="shared" si="21"/>
        <v>7</v>
      </c>
      <c r="AF23" s="197">
        <f t="shared" si="21"/>
        <v>0</v>
      </c>
      <c r="AG23" s="197">
        <f t="shared" si="21"/>
        <v>0</v>
      </c>
      <c r="AH23" s="197">
        <f t="shared" si="21"/>
        <v>0</v>
      </c>
      <c r="AI23" s="197">
        <f t="shared" si="21"/>
        <v>0</v>
      </c>
      <c r="AJ23" s="197">
        <f t="shared" si="21"/>
        <v>0</v>
      </c>
      <c r="AK23" s="197">
        <f t="shared" si="21"/>
        <v>0</v>
      </c>
      <c r="AL23" s="197">
        <f t="shared" si="21"/>
        <v>39</v>
      </c>
      <c r="AM23" s="197">
        <f t="shared" si="21"/>
        <v>39</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1596</v>
      </c>
      <c r="AZ23" s="197">
        <f>SUBTOTAL(9,AZ15:AZ22)</f>
        <v>1386</v>
      </c>
      <c r="BA23" s="197">
        <f>SUBTOTAL(9,BA15:BA22)</f>
        <v>1243</v>
      </c>
      <c r="BB23" s="197">
        <f>SUBTOTAL(9,BB15:BB22)</f>
        <v>1653</v>
      </c>
      <c r="BC23" s="197">
        <f>SUBTOTAL(9,BC15:BC22)</f>
        <v>119</v>
      </c>
      <c r="BD23" s="219">
        <f>IF(ISNUMBER(BA23/AZ23),BA23/AZ23," - ")</f>
        <v>0.89682539682539686</v>
      </c>
      <c r="BE23" s="220">
        <f>IF(ISNUMBER(BB23/BA23),BB23/BA23, " - ")</f>
        <v>1.3298471440064361</v>
      </c>
      <c r="BF23" s="220">
        <f>IF(ISNUMBER(BC23/BA23),BC23/BA23, " - ")</f>
        <v>9.5736122284794847E-2</v>
      </c>
      <c r="BG23" s="221">
        <f>IF(ISNUMBER((AY23+AZ23)/BA23),(AY23+AZ23)/BA23," - ")</f>
        <v>2.3990345937248594</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5109</v>
      </c>
      <c r="J31" s="144">
        <f t="shared" si="36"/>
        <v>2287</v>
      </c>
      <c r="K31" s="144">
        <f t="shared" si="36"/>
        <v>1942</v>
      </c>
      <c r="L31" s="144">
        <f t="shared" si="36"/>
        <v>5454</v>
      </c>
      <c r="M31" s="144">
        <f t="shared" si="36"/>
        <v>290</v>
      </c>
      <c r="N31" s="144">
        <f t="shared" si="36"/>
        <v>917</v>
      </c>
      <c r="O31" s="144">
        <f t="shared" si="36"/>
        <v>358</v>
      </c>
      <c r="P31" s="144">
        <f t="shared" si="36"/>
        <v>242</v>
      </c>
      <c r="Q31" s="144">
        <f t="shared" si="36"/>
        <v>228</v>
      </c>
      <c r="R31" s="144">
        <f t="shared" si="36"/>
        <v>4931</v>
      </c>
      <c r="S31" s="144">
        <f t="shared" si="36"/>
        <v>4125</v>
      </c>
      <c r="T31" s="144">
        <f t="shared" si="36"/>
        <v>2172</v>
      </c>
      <c r="U31" s="144">
        <f t="shared" si="36"/>
        <v>1977</v>
      </c>
      <c r="V31" s="144">
        <f t="shared" si="36"/>
        <v>4171</v>
      </c>
      <c r="W31" s="144">
        <f t="shared" si="36"/>
        <v>292</v>
      </c>
      <c r="X31" s="144">
        <f t="shared" si="36"/>
        <v>938</v>
      </c>
      <c r="Y31" s="144">
        <f t="shared" si="36"/>
        <v>25</v>
      </c>
      <c r="Z31" s="144">
        <f t="shared" si="36"/>
        <v>27</v>
      </c>
      <c r="AA31" s="144">
        <f t="shared" si="36"/>
        <v>26</v>
      </c>
      <c r="AB31" s="144">
        <f t="shared" si="36"/>
        <v>26</v>
      </c>
      <c r="AC31" s="144">
        <f t="shared" si="36"/>
        <v>0</v>
      </c>
      <c r="AD31" s="144">
        <f t="shared" si="36"/>
        <v>7</v>
      </c>
      <c r="AE31" s="144">
        <f t="shared" si="36"/>
        <v>7</v>
      </c>
      <c r="AF31" s="144">
        <f t="shared" si="36"/>
        <v>0</v>
      </c>
      <c r="AG31" s="144">
        <f t="shared" si="36"/>
        <v>28</v>
      </c>
      <c r="AH31" s="144">
        <f t="shared" si="36"/>
        <v>34</v>
      </c>
      <c r="AI31" s="144">
        <f t="shared" si="36"/>
        <v>22</v>
      </c>
      <c r="AJ31" s="144">
        <f t="shared" si="36"/>
        <v>40</v>
      </c>
      <c r="AK31" s="144">
        <f t="shared" si="36"/>
        <v>0</v>
      </c>
      <c r="AL31" s="144">
        <f t="shared" si="36"/>
        <v>39</v>
      </c>
      <c r="AM31" s="144">
        <f t="shared" si="36"/>
        <v>39</v>
      </c>
      <c r="AN31" s="224">
        <f t="shared" si="36"/>
        <v>0</v>
      </c>
      <c r="AO31" s="225">
        <v>5</v>
      </c>
      <c r="AP31" s="225">
        <v>4</v>
      </c>
      <c r="AQ31" s="225">
        <v>4</v>
      </c>
      <c r="AR31" s="225">
        <v>4</v>
      </c>
      <c r="AS31" s="166">
        <f t="shared" si="36"/>
        <v>0</v>
      </c>
      <c r="AT31" s="166">
        <f t="shared" si="36"/>
        <v>0</v>
      </c>
      <c r="AU31" s="225"/>
      <c r="AV31" s="226"/>
      <c r="AW31" s="225"/>
      <c r="AX31" s="226"/>
      <c r="AY31" s="143">
        <f>SUBTOTAL(9,AY9:AY30)</f>
        <v>4153</v>
      </c>
      <c r="AZ31" s="144">
        <f>SUBTOTAL(9,AZ9:AZ30)</f>
        <v>2206</v>
      </c>
      <c r="BA31" s="144">
        <f>SUBTOTAL(9,BA9:BA30)</f>
        <v>1999</v>
      </c>
      <c r="BB31" s="144">
        <f>SUBTOTAL(9,BB9:BB30)</f>
        <v>4211</v>
      </c>
      <c r="BC31" s="145">
        <f>SUBTOTAL(9,BC9:BC30)</f>
        <v>377</v>
      </c>
      <c r="BD31" s="227">
        <f>IF(ISNUMBER(BA31/AZ31),BA31/AZ31," - ")</f>
        <v>0.90616500453309157</v>
      </c>
      <c r="BE31" s="224">
        <f>IF(ISNUMBER(BB31/BA31),BB31/BA31, " - ")</f>
        <v>2.1065532766383193</v>
      </c>
      <c r="BF31" s="224">
        <f>IF(ISNUMBER(BC31/BA31),BC31/BA31, " - ")</f>
        <v>0.18859429714857429</v>
      </c>
      <c r="BG31" s="145">
        <f>IF(ISNUMBER((AY31+AZ31)/BA31),(AY31+AZ31)/BA31," - ")</f>
        <v>3.1810905452726361</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4sn2NhIG17DXpP7Jd4WMz1Edjto8Sqcc/B08LoVVB2bnKiBvz6NYQqIQINouG8Add0gQOFXCwE6R0hy/Pl/tg==" saltValue="i+N8Lb7xBB0Roz1AoKwuJ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ztfnGlHhGQagsKj/mdg/MKHMTJ8EFkXTvr+gta5pD+MYu7BYQf9Sp9xLc+kUmklCsG240d01SDMxrEJcHBESw==" saltValue="P51QWRG+WS4BZEH8DIpOB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GIRONA  Resumenes por Partidos Judiciales  SANTA COLOMA DE FARNERS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38</v>
      </c>
      <c r="G10" s="543">
        <f>IF(ISNUMBER(Datos!I10),Datos!I10," - ")</f>
        <v>38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18</v>
      </c>
      <c r="AC10" s="547">
        <f>IF(ISNUMBER(Datos!Q10),Datos!Q10," - ")</f>
        <v>2</v>
      </c>
      <c r="AD10" s="549"/>
      <c r="AE10" s="563"/>
      <c r="AF10" s="551">
        <f>IF(ISNUMBER(Datos!L10),Datos!L10,"-")</f>
        <v>35</v>
      </c>
      <c r="AG10" s="549"/>
      <c r="AH10" s="549"/>
      <c r="AI10" s="549"/>
      <c r="AJ10" s="549"/>
      <c r="AK10" s="549"/>
      <c r="AL10" s="550"/>
      <c r="AM10" s="766">
        <f>IF(ISNUMBER(Datos!R10),Datos!R10," - ")</f>
        <v>40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v>
      </c>
      <c r="BD10" s="693">
        <f>IF(ISNUMBER(Datos!N10),Datos!N10," - ")</f>
        <v>7</v>
      </c>
      <c r="BE10" s="693" t="str">
        <f>IF(ISNUMBER(Datos!BW10),Datos!BW10," - ")</f>
        <v xml:space="preserve"> - </v>
      </c>
      <c r="BF10" s="762" t="str">
        <f>IF(ISNUMBER(Datos!BX10),Datos!BX10," - ")</f>
        <v xml:space="preserve"> - </v>
      </c>
      <c r="BG10" s="763">
        <f>IF(ISNUMBER(Datos!K10/Datos!J10),Datos!K10/Datos!J10," - ")</f>
        <v>1.2</v>
      </c>
      <c r="BH10" s="764">
        <f>IF(ISNUMBER(((Datos!L10/Datos!K10)*11)/factor_trimestre),((Datos!L10/Datos!K10)*11)/factor_trimestre," - ")</f>
        <v>3.8888888888888888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-2.4390243902439025E-2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27</v>
      </c>
      <c r="O12" s="549"/>
      <c r="P12" s="549"/>
      <c r="Q12" s="547">
        <f>IF(ISNUMBER(Datos!P12),Datos!P12,0)</f>
        <v>228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217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26</v>
      </c>
      <c r="AI12" s="549" t="str">
        <f>IF(ISNUMBER(Datos!CD12),Datos!CD12,"-")</f>
        <v>-</v>
      </c>
      <c r="AJ12" s="549" t="str">
        <f>IF(ISNUMBER(Datos!EN12),Datos!EN12," - ")</f>
        <v xml:space="preserve"> - </v>
      </c>
      <c r="AK12" s="549"/>
      <c r="AL12" s="550"/>
      <c r="AM12" s="766">
        <f>IF(ISNUMBER(Datos!R12),Datos!R12," - ")</f>
        <v>4741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164</v>
      </c>
      <c r="BD12" s="693">
        <f>IF(ISNUMBER(Datos!N12),Datos!N12," - ")</f>
        <v>310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0.78195488721804507</v>
      </c>
      <c r="BH12" s="764">
        <f>IF(ISNUMBER(((IF(J_V="SI",Datos!L12/Datos!K12,(Datos!L12+Datos!AB12)/(Datos!K12+Datos!AA12)))*11)/factor_trimestre),((IF(J_V="SI",Datos!L12/Datos!K12,(Datos!L12+Datos!AB12)/(Datos!K12+Datos!AA12)))*11)/factor_trimestre," - ")</f>
        <v>8.2620192307692299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2.3255813953488372E-3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4</v>
      </c>
      <c r="F14" s="1197">
        <f t="shared" si="1"/>
        <v>38</v>
      </c>
      <c r="G14" s="1197">
        <f t="shared" si="1"/>
        <v>38</v>
      </c>
      <c r="H14" s="1198">
        <f t="shared" si="1"/>
        <v>0</v>
      </c>
      <c r="I14" s="1197">
        <f t="shared" si="1"/>
        <v>0</v>
      </c>
      <c r="J14" s="1164">
        <f t="shared" si="1"/>
        <v>0</v>
      </c>
      <c r="K14" s="1164">
        <f t="shared" si="1"/>
        <v>0</v>
      </c>
      <c r="L14" s="1198">
        <f t="shared" si="1"/>
        <v>0</v>
      </c>
      <c r="M14" s="1198">
        <f t="shared" si="1"/>
        <v>0</v>
      </c>
      <c r="N14" s="1198">
        <f t="shared" si="1"/>
        <v>27</v>
      </c>
      <c r="O14" s="1199">
        <f t="shared" si="1"/>
        <v>0</v>
      </c>
      <c r="P14" s="1199">
        <f t="shared" si="1"/>
        <v>0</v>
      </c>
      <c r="Q14" s="1198">
        <f t="shared" si="1"/>
        <v>229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18</v>
      </c>
      <c r="AC14" s="1198">
        <f t="shared" si="2"/>
        <v>219</v>
      </c>
      <c r="AD14" s="1198">
        <f t="shared" si="2"/>
        <v>0</v>
      </c>
      <c r="AE14" s="1198">
        <f t="shared" si="2"/>
        <v>0</v>
      </c>
      <c r="AF14" s="1198">
        <f t="shared" si="2"/>
        <v>35</v>
      </c>
      <c r="AG14" s="1198">
        <f t="shared" si="2"/>
        <v>0</v>
      </c>
      <c r="AH14" s="1198">
        <f t="shared" si="2"/>
        <v>26</v>
      </c>
      <c r="AI14" s="1198">
        <f t="shared" si="2"/>
        <v>0</v>
      </c>
      <c r="AJ14" s="1198">
        <f t="shared" si="2"/>
        <v>0</v>
      </c>
      <c r="AK14" s="1198">
        <f t="shared" si="2"/>
        <v>0</v>
      </c>
      <c r="AL14" s="1198">
        <f t="shared" si="2"/>
        <v>0</v>
      </c>
      <c r="AM14" s="1198">
        <f t="shared" si="2"/>
        <v>4781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171</v>
      </c>
      <c r="BD14" s="1198">
        <f t="shared" si="2"/>
        <v>317</v>
      </c>
      <c r="BE14" s="1198">
        <f t="shared" si="2"/>
        <v>0</v>
      </c>
      <c r="BF14" s="1198">
        <f t="shared" si="2"/>
        <v>0</v>
      </c>
      <c r="BG14" s="1198">
        <f>IF(ISNUMBER(Datos!K14/Datos!J14),Datos!K14/Datos!J14," - ")</f>
        <v>0.78326996197718635</v>
      </c>
      <c r="BH14" s="1202">
        <f>IF(ISNUMBER(((Datos!L14/Datos!K14)*11)/factor_trimestre),((Datos!L14/Datos!K14)*11)/factor_trimestre," - ")</f>
        <v>8.3640776699029118</v>
      </c>
      <c r="BI14" s="1198">
        <f>IF(ISNUMBER('Resol  Asuntos'!D14/NºAsuntos!G14),'Resol  Asuntos'!D14/NºAsuntos!G14," - ")</f>
        <v>0.20117647058823529</v>
      </c>
      <c r="BJ14" s="1198" t="str">
        <f>IF(ISNUMBER(Datos!CI14/Datos!CJ14),Datos!CI14/Datos!CJ14," - ")</f>
        <v xml:space="preserve"> - </v>
      </c>
      <c r="BK14" s="1198">
        <f>SUBTOTAL(9,BK8:BK13)</f>
        <v>0</v>
      </c>
      <c r="BL14" s="1198">
        <f>IF(ISNUMBER((I14-AB14+L14)/(F14)),(I14-AB14+L14)/(F14)," - ")</f>
        <v>-0.47368421052631576</v>
      </c>
      <c r="BM14" s="1203">
        <f>SUBTOTAL(9,BM9:BM13)</f>
        <v>-2.2064662507090188E-2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1811</v>
      </c>
      <c r="G17" s="743">
        <f>IF(ISNUMBER(IF(D_I="SI",Datos!I17,Datos!I17+Datos!AC17)),IF(D_I="SI",Datos!I17,Datos!I17+Datos!AC17)," - ")</f>
        <v>1811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994</v>
      </c>
      <c r="AC17" s="240">
        <f>IF(ISNUMBER(Datos!Q17),Datos!Q17," - ")</f>
        <v>9</v>
      </c>
      <c r="AD17" s="374"/>
      <c r="AE17" s="562"/>
      <c r="AF17" s="741">
        <f>IF(ISNUMBER(IF(D_I="SI",Datos!L17,Datos!L17+Datos!AF17)),IF(D_I="SI",Datos!L17,Datos!L17+Datos!AF17)," - ")</f>
        <v>1924</v>
      </c>
      <c r="AG17" s="374"/>
      <c r="AH17" s="374"/>
      <c r="AI17" s="374"/>
      <c r="AJ17" s="549"/>
      <c r="AK17" s="374"/>
      <c r="AL17" s="545"/>
      <c r="AM17" s="375">
        <f>IF(ISNUMBER(Datos!R17),Datos!R17," - ")</f>
        <v>150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114</v>
      </c>
      <c r="BD17" s="243">
        <f>IF(ISNUMBER(Datos!N17),Datos!N17," - ")</f>
        <v>567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0.89792231255645893</v>
      </c>
      <c r="BH17" s="764">
        <f>IF(ISNUMBER(((IF(D_I="SI",Datos!L17/Datos!K17,(Datos!L17+Datos!AF17)/(Datos!K17+Datos!AE17)))*11)/factor_trimestre),((IF(D_I="SI",Datos!L17/Datos!K17,(Datos!L17+Datos!AF17)/(Datos!K17+Datos!AE17)))*11)/factor_trimestre," - ")</f>
        <v>3.8712273641851103</v>
      </c>
      <c r="BI17" s="266">
        <f>IF(ISNUMBER('Resol  Asuntos'!D17/NºAsuntos!G17),'Resol  Asuntos'!D17/NºAsuntos!G17," - ")</f>
        <v>0.11468812877263582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124</v>
      </c>
      <c r="AC18" s="547">
        <f>IF(ISNUMBER(Datos!Q18),Datos!Q18," - ")</f>
        <v>0</v>
      </c>
      <c r="AD18" s="549"/>
      <c r="AE18" s="562"/>
      <c r="AF18" s="551">
        <f>IF(ISNUMBER(Datos!L18),Datos!L18,"-")</f>
        <v>84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33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0.96875</v>
      </c>
      <c r="BH18" s="764">
        <f>IF(ISNUMBER(((IF(D_I="SI",Datos!L18/Datos!K18,(Datos!L18+Datos!AF18)/(Datos!K18+Datos!AE18)))*11)/factor_trimestre),((IF(D_I="SI",Datos!L18/Datos!K18,(Datos!L18+Datos!AF18)/(Datos!K18+Datos!AE18)))*11)/factor_trimestre," - ")</f>
        <v>1.3548387096774193</v>
      </c>
      <c r="BI18" s="763">
        <f>IF(ISNUMBER('Resol  Asuntos'!D18/NºAsuntos!G18),'Resol  Asuntos'!D18/NºAsuntos!G18," - ")</f>
        <v>4.0322580645161289E-2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4</v>
      </c>
      <c r="F23" s="1197">
        <f>SUBTOTAL(9,F16:F22)</f>
        <v>1811</v>
      </c>
      <c r="G23" s="1197">
        <f>SUBTOTAL(9,G16:G22)</f>
        <v>1891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1118</v>
      </c>
      <c r="AC23" s="1198">
        <f t="shared" si="5"/>
        <v>9</v>
      </c>
      <c r="AD23" s="1198">
        <f t="shared" si="5"/>
        <v>0</v>
      </c>
      <c r="AE23" s="1198">
        <f t="shared" si="5"/>
        <v>0</v>
      </c>
      <c r="AF23" s="1198">
        <f t="shared" si="5"/>
        <v>2008</v>
      </c>
      <c r="AG23" s="1198">
        <f t="shared" si="5"/>
        <v>0</v>
      </c>
      <c r="AH23" s="1198">
        <f t="shared" si="5"/>
        <v>0</v>
      </c>
      <c r="AI23" s="1198">
        <f t="shared" si="5"/>
        <v>0</v>
      </c>
      <c r="AJ23" s="1198">
        <f t="shared" si="5"/>
        <v>0</v>
      </c>
      <c r="AK23" s="1198">
        <f t="shared" si="5"/>
        <v>0</v>
      </c>
      <c r="AL23" s="1198">
        <f t="shared" si="5"/>
        <v>0</v>
      </c>
      <c r="AM23" s="1198">
        <f t="shared" si="5"/>
        <v>150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119</v>
      </c>
      <c r="BD23" s="1198">
        <f t="shared" si="5"/>
        <v>600</v>
      </c>
      <c r="BE23" s="1198">
        <f t="shared" si="5"/>
        <v>0</v>
      </c>
      <c r="BF23" s="1198">
        <f t="shared" si="5"/>
        <v>0</v>
      </c>
      <c r="BG23" s="1198">
        <f>IF(ISNUMBER(Datos!K23/Datos!J23),Datos!K23/Datos!J23," - ")</f>
        <v>0.90526315789473688</v>
      </c>
      <c r="BH23" s="1202">
        <f>IF(ISNUMBER(((Datos!L23/Datos!K23)*11)/factor_trimestre),((Datos!L23/Datos!K23)*11)/factor_trimestre," - ")</f>
        <v>3.592128801431127</v>
      </c>
      <c r="BI23" s="1198">
        <f>SUBTOTAL(9,BI16:BI22)</f>
        <v>0.1550107094177971</v>
      </c>
      <c r="BJ23" s="1198">
        <f>SUBTOTAL(9,BJ16:BJ22)</f>
        <v>0</v>
      </c>
      <c r="BK23" s="1198">
        <f>SUBTOTAL(9,BK16:BK22)</f>
        <v>0</v>
      </c>
      <c r="BL23" s="1198">
        <f>IF(ISNUMBER((I23-AB23+L23)/(F23)),(I23-AB23+L23)/(F23)," - ")</f>
        <v>-0.61733848702374383</v>
      </c>
      <c r="BM23" s="1205">
        <f>IF(ISNUMBER((Datos!P23-Datos!Q23)/(Datos!R23-Datos!P23+Datos!Q23)),(Datos!P23-Datos!Q23)/(Datos!R23-Datos!P23+Datos!Q23)," - ")</f>
        <v>2.7397260273972601E-2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8</v>
      </c>
      <c r="F31" s="1117">
        <f t="shared" si="18"/>
        <v>1849</v>
      </c>
      <c r="G31" s="1117">
        <f t="shared" si="18"/>
        <v>1929</v>
      </c>
      <c r="H31" s="1119">
        <f t="shared" si="18"/>
        <v>0</v>
      </c>
      <c r="I31" s="1117">
        <f t="shared" si="18"/>
        <v>0</v>
      </c>
      <c r="J31" s="1119">
        <f t="shared" si="18"/>
        <v>0</v>
      </c>
      <c r="K31" s="1119">
        <f t="shared" si="18"/>
        <v>0</v>
      </c>
      <c r="L31" s="1180">
        <f t="shared" si="18"/>
        <v>0</v>
      </c>
      <c r="M31" s="1180">
        <f t="shared" si="18"/>
        <v>0</v>
      </c>
      <c r="N31" s="1180">
        <f t="shared" si="18"/>
        <v>27</v>
      </c>
      <c r="O31" s="1180">
        <f t="shared" si="18"/>
        <v>0</v>
      </c>
      <c r="P31" s="1180">
        <f t="shared" si="18"/>
        <v>0</v>
      </c>
      <c r="Q31" s="1119">
        <f t="shared" si="18"/>
        <v>242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1136</v>
      </c>
      <c r="AC31" s="1118">
        <f t="shared" si="19"/>
        <v>228</v>
      </c>
      <c r="AD31" s="1118">
        <f t="shared" si="19"/>
        <v>0</v>
      </c>
      <c r="AE31" s="1118">
        <f t="shared" si="19"/>
        <v>0</v>
      </c>
      <c r="AF31" s="1125">
        <f t="shared" si="19"/>
        <v>2043</v>
      </c>
      <c r="AG31" s="1125">
        <f t="shared" si="19"/>
        <v>0</v>
      </c>
      <c r="AH31" s="1125">
        <f t="shared" si="19"/>
        <v>26</v>
      </c>
      <c r="AI31" s="1125">
        <f t="shared" si="19"/>
        <v>0</v>
      </c>
      <c r="AJ31" s="1118">
        <f t="shared" si="19"/>
        <v>0</v>
      </c>
      <c r="AK31" s="1125">
        <f t="shared" si="19"/>
        <v>0</v>
      </c>
      <c r="AL31" s="1125">
        <f t="shared" si="19"/>
        <v>0</v>
      </c>
      <c r="AM31" s="1125">
        <f t="shared" si="19"/>
        <v>4931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290</v>
      </c>
      <c r="BD31" s="1117">
        <f t="shared" si="19"/>
        <v>917</v>
      </c>
      <c r="BE31" s="1117">
        <f t="shared" si="19"/>
        <v>0</v>
      </c>
      <c r="BF31" s="1127">
        <f t="shared" si="19"/>
        <v>0</v>
      </c>
      <c r="BG31" s="1223">
        <f>IF(ISNUMBER(Datos!K31/Datos!J31),Datos!K31/Datos!J31," - ")</f>
        <v>0.84914735461303015</v>
      </c>
      <c r="BH31" s="1223">
        <f>IF(ISNUMBER(((Datos!L31/Datos!K31)*11)/factor_trimestre),((Datos!L31/Datos!K31)*11)/factor_trimestre," - ")</f>
        <v>5.6168898043254378</v>
      </c>
      <c r="BI31" s="1103">
        <f>IF(ISNUMBER(Datos!J31/Datos!I31),Datos!J31/Datos!I31," - ")</f>
        <v>0.44764141710706595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-0.61438615467820445</v>
      </c>
      <c r="BM31" s="1188">
        <f>IF(ISNUMBER((Datos!P31-Datos!Q31+R31)/(Datos!R31-Datos!P31+Datos!Q31-R31)),(Datos!P31-Datos!Q31+R31)/(Datos!R31-Datos!P31+Datos!Q31-R31)," - ")</f>
        <v>2.847264592231035E-3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551.14285714285711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925.54085089026012</v>
      </c>
      <c r="G33" s="674">
        <f>IF(ISNUMBER(STDEV(G8:G30)),STDEV(G8:G30),"-")</f>
        <v>888.68637673280227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502.7520452943171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76.828194229536777</v>
      </c>
      <c r="BD33" s="673"/>
      <c r="BE33" s="673">
        <f>IF(ISNUMBER(STDEV(BE8:BE30)),STDEV(BE8:BE30),"-")</f>
        <v>0</v>
      </c>
      <c r="BF33" s="678">
        <f>IF(ISNUMBER(STDEV(BF8:BF30)),STDEV(BF8:BF30),"-")</f>
        <v>0</v>
      </c>
      <c r="BG33" s="1052">
        <f>IF(ISNUMBER(STDEV(BG8:BG30)),STDEV(BG8:BG30),"-")</f>
        <v>0.15439147536726222</v>
      </c>
      <c r="BH33" s="1058">
        <f>IF(ISNUMBER(STDEV(BH8:BH30)),STDEV(BH8:BH30),"-")</f>
        <v>2.8164402260863071</v>
      </c>
      <c r="BI33" s="273">
        <f>IF(ISNUMBER(STDEV(BI8:BI30)),STDEV(BI8:BI30),"-")</f>
        <v>6.8187851327436183E-2</v>
      </c>
      <c r="BJ33" s="244" t="str">
        <f>IF(ISNUMBER(BL33/BM33),BL33/BM33," - ")</f>
        <v xml:space="preserve"> - </v>
      </c>
      <c r="BK33" s="709"/>
      <c r="BL33" s="681">
        <f>IF(ISNUMBER(STDEV(BL8:BL30)),STDEV(BL8:BL30),"-")</f>
        <v>0.10157891305777889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jHShBRPNZ7aG4Bvn0H6ebaldBswPl326EC21VpvF/Asmg39F7iv7G0rZXY/3nAhhNWO8xB8Q7AW5o+DIAP8++A==" saltValue="AdxqpgGb1E442JdqVptWJ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GIRONA  Resumenes por Partidos Judiciales  SANTA COLOMA DE FARNERS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38</v>
      </c>
      <c r="G10" s="552">
        <f>IF(ISNUMBER(Datos!I10),Datos!I10," - ")</f>
        <v>38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18</v>
      </c>
      <c r="Z10" s="805">
        <f>IF(ISNUMBER(Datos!Q10),Datos!Q10," - ")</f>
        <v>2</v>
      </c>
      <c r="AA10" s="551">
        <f>IF(ISNUMBER(Datos!L10),Datos!L10,"-")</f>
        <v>35</v>
      </c>
      <c r="AB10" s="549"/>
      <c r="AC10" s="549"/>
      <c r="AD10" s="563"/>
      <c r="AE10" s="563">
        <f>IF(ISNUMBER(Datos!R10),Datos!R10," - ")</f>
        <v>40</v>
      </c>
      <c r="AF10" s="693" t="str">
        <f>IF(ISNUMBER(Datos!BV10),Datos!BV10," - ")</f>
        <v xml:space="preserve"> - </v>
      </c>
      <c r="AG10" s="552" t="str">
        <f>IF(ISNUMBER(Datos!DV10),Datos!DV10," - ")</f>
        <v xml:space="preserve"> - </v>
      </c>
      <c r="AH10" s="553"/>
      <c r="AI10" s="554"/>
      <c r="AJ10" s="552">
        <f>IF(ISNUMBER(Datos!M10),Datos!M10," - ")</f>
        <v>7</v>
      </c>
      <c r="AK10" s="693">
        <f>IF(ISNUMBER(Datos!N10),Datos!N10," - ")</f>
        <v>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3.8888888888888888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-2.4390243902439025E-2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228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217</v>
      </c>
      <c r="AA12" s="551" t="str">
        <f>IF(ISNUMBER(IF(J_V="SI",Datos!L12,Datos!L12+Datos!AB12)-IF(Monitorios="SI",Datos!CD12,0)),
                          IF(J_V="SI",Datos!L12,Datos!L12+Datos!AB12)-IF(Monitorios="SI",Datos!CD12,0),
                          " - ")</f>
        <v xml:space="preserve"> - </v>
      </c>
      <c r="AB12" s="549"/>
      <c r="AC12" s="549"/>
      <c r="AD12" s="563"/>
      <c r="AE12" s="563">
        <f>IF(ISNUMBER(Datos!R12),Datos!R12," - ")</f>
        <v>4741</v>
      </c>
      <c r="AF12" s="693" t="str">
        <f>IF(ISNUMBER(Datos!BV12),Datos!BV12," - ")</f>
        <v xml:space="preserve"> - </v>
      </c>
      <c r="AG12" s="552" t="str">
        <f>IF(ISNUMBER(Datos!DV12),Datos!DV12," - ")</f>
        <v xml:space="preserve"> - </v>
      </c>
      <c r="AH12" s="553"/>
      <c r="AI12" s="554"/>
      <c r="AJ12" s="552">
        <f>IF(ISNUMBER(Datos!M12),Datos!M12," - ")</f>
        <v>164</v>
      </c>
      <c r="AK12" s="693">
        <f>IF(ISNUMBER(Datos!N12),Datos!N12," - ")</f>
        <v>310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8.2620192307692299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2.3255813953488372E-3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4</v>
      </c>
      <c r="F14" s="1197">
        <f>SUBTOTAL(9,F8:F13)</f>
        <v>38</v>
      </c>
      <c r="G14" s="1197">
        <f>SUBTOTAL(9,G8:G13)</f>
        <v>38</v>
      </c>
      <c r="H14" s="1211"/>
      <c r="I14" s="1197">
        <f t="shared" ref="I14:N14" si="1">SUBTOTAL(9,I8:I13)</f>
        <v>0</v>
      </c>
      <c r="J14" s="1164">
        <f t="shared" si="1"/>
        <v>0</v>
      </c>
      <c r="K14" s="1211">
        <f t="shared" si="1"/>
        <v>0</v>
      </c>
      <c r="L14" s="1211">
        <f t="shared" si="1"/>
        <v>0</v>
      </c>
      <c r="M14" s="1211">
        <f t="shared" si="1"/>
        <v>0</v>
      </c>
      <c r="N14" s="1211">
        <f t="shared" si="1"/>
        <v>229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18</v>
      </c>
      <c r="Z14" s="1210">
        <f t="shared" si="3"/>
        <v>219</v>
      </c>
      <c r="AA14" s="1199">
        <f t="shared" si="3"/>
        <v>35</v>
      </c>
      <c r="AB14" s="1199">
        <f t="shared" si="3"/>
        <v>0</v>
      </c>
      <c r="AC14" s="1199">
        <f t="shared" si="3"/>
        <v>0</v>
      </c>
      <c r="AD14" s="1199">
        <f t="shared" si="3"/>
        <v>0</v>
      </c>
      <c r="AE14" s="1199">
        <f t="shared" si="3"/>
        <v>4781</v>
      </c>
      <c r="AF14" s="1211">
        <f t="shared" si="3"/>
        <v>0</v>
      </c>
      <c r="AG14" s="1211">
        <f t="shared" si="3"/>
        <v>0</v>
      </c>
      <c r="AH14" s="1211">
        <f t="shared" si="3"/>
        <v>0</v>
      </c>
      <c r="AI14" s="1211">
        <f t="shared" si="3"/>
        <v>0</v>
      </c>
      <c r="AJ14" s="1211">
        <f t="shared" si="3"/>
        <v>171</v>
      </c>
      <c r="AK14" s="1211">
        <f t="shared" si="3"/>
        <v>317</v>
      </c>
      <c r="AL14" s="1211">
        <f t="shared" si="3"/>
        <v>0</v>
      </c>
      <c r="AM14" s="1211">
        <f t="shared" si="3"/>
        <v>0</v>
      </c>
      <c r="AN14" s="1211">
        <f t="shared" si="3"/>
        <v>0</v>
      </c>
      <c r="AO14" s="1203">
        <f>IF(ISNUMBER(((NºAsuntos!I14/NºAsuntos!G14)*11)/factor_trimestre),((NºAsuntos!I14/NºAsuntos!G14)*11)/factor_trimestre," - ")</f>
        <v>8.1694117647058828</v>
      </c>
      <c r="AP14" s="1213" t="str">
        <f>IF(ISNUMBER(Datos!CI14/Datos!CJ14),Datos!CI14/Datos!CJ14," - ")</f>
        <v xml:space="preserve"> - </v>
      </c>
      <c r="AQ14" s="1236">
        <f t="shared" ref="AQ14:AV14" si="4">SUBTOTAL(9,AQ9:AQ13)</f>
        <v>0</v>
      </c>
      <c r="AR14" s="1236">
        <f t="shared" si="4"/>
        <v>-2.2064662507090188E-2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1811</v>
      </c>
      <c r="G17" s="552">
        <f>IF(ISNUMBER(IF(D_I="SI",Datos!I17,Datos!I17+Datos!AC17)),IF(D_I="SI",Datos!I17,Datos!I17+Datos!AC17)," - ")</f>
        <v>1811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994</v>
      </c>
      <c r="Z17" s="805">
        <f>IF(ISNUMBER(Datos!Q17),Datos!Q17," - ")</f>
        <v>9</v>
      </c>
      <c r="AA17" s="551">
        <f>IF(ISNUMBER(IF(D_I="SI",Datos!L17,Datos!L17+Datos!AF17)),IF(D_I="SI",Datos!L17,Datos!L17+Datos!AF17)," - ")</f>
        <v>1924</v>
      </c>
      <c r="AB17" s="549"/>
      <c r="AC17" s="549"/>
      <c r="AD17" s="563"/>
      <c r="AE17" s="563">
        <f>IF(ISNUMBER(Datos!R17),Datos!R17," - ")</f>
        <v>150</v>
      </c>
      <c r="AF17" s="693" t="str">
        <f>IF(ISNUMBER(Datos!BV17),Datos!BV17," - ")</f>
        <v xml:space="preserve"> - </v>
      </c>
      <c r="AG17" s="552"/>
      <c r="AH17" s="553"/>
      <c r="AI17" s="554"/>
      <c r="AJ17" s="552">
        <f>IF(ISNUMBER(Datos!M17),Datos!M17," - ")</f>
        <v>114</v>
      </c>
      <c r="AK17" s="693">
        <f>IF(ISNUMBER(Datos!N17),Datos!N17," - ")</f>
        <v>567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3.8712273641851103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124</v>
      </c>
      <c r="Z18" s="805">
        <f>IF(ISNUMBER(Datos!Q18),Datos!Q18," - ")</f>
        <v>0</v>
      </c>
      <c r="AA18" s="551">
        <f>IF(ISNUMBER(Datos!L18),Datos!L18,"-")</f>
        <v>84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5</v>
      </c>
      <c r="AK18" s="693">
        <f>IF(ISNUMBER(Datos!N18),Datos!N18," - ")</f>
        <v>33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1.3548387096774193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4</v>
      </c>
      <c r="F23" s="1197">
        <f>SUBTOTAL(9,F16:F22)</f>
        <v>1811</v>
      </c>
      <c r="G23" s="1197">
        <f>SUBTOTAL(9,G16:G22)</f>
        <v>1891</v>
      </c>
      <c r="H23" s="1240">
        <f>SUBTOTAL(9,H16:H22)</f>
        <v>0</v>
      </c>
      <c r="I23" s="1217">
        <f>SUBTOTAL(9,I16:I22)</f>
        <v>0</v>
      </c>
      <c r="J23" s="1164">
        <f>SUBTOTAL(9,J15:J22)</f>
        <v>0</v>
      </c>
      <c r="K23" s="1240">
        <f t="shared" ref="K23:S23" si="5">SUBTOTAL(9,K16:K22)</f>
        <v>0</v>
      </c>
      <c r="L23" s="1240">
        <f t="shared" si="5"/>
        <v>0</v>
      </c>
      <c r="M23" s="1240">
        <f t="shared" si="5"/>
        <v>0</v>
      </c>
      <c r="N23" s="1240">
        <f t="shared" si="5"/>
        <v>13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1118</v>
      </c>
      <c r="Z23" s="1240">
        <f t="shared" si="6"/>
        <v>9</v>
      </c>
      <c r="AA23" s="1240">
        <f t="shared" si="6"/>
        <v>2008</v>
      </c>
      <c r="AB23" s="1240">
        <f t="shared" si="6"/>
        <v>0</v>
      </c>
      <c r="AC23" s="1240">
        <f t="shared" si="6"/>
        <v>0</v>
      </c>
      <c r="AD23" s="1240">
        <f t="shared" si="6"/>
        <v>0</v>
      </c>
      <c r="AE23" s="1240">
        <f t="shared" si="6"/>
        <v>150</v>
      </c>
      <c r="AF23" s="1240">
        <f t="shared" si="6"/>
        <v>0</v>
      </c>
      <c r="AG23" s="1240">
        <f t="shared" si="6"/>
        <v>0</v>
      </c>
      <c r="AH23" s="1240">
        <f t="shared" si="6"/>
        <v>0</v>
      </c>
      <c r="AI23" s="1240">
        <f t="shared" si="6"/>
        <v>0</v>
      </c>
      <c r="AJ23" s="1240">
        <f t="shared" si="6"/>
        <v>119</v>
      </c>
      <c r="AK23" s="1240">
        <f t="shared" si="6"/>
        <v>600</v>
      </c>
      <c r="AL23" s="1240">
        <f t="shared" si="6"/>
        <v>0</v>
      </c>
      <c r="AM23" s="1240">
        <f t="shared" si="6"/>
        <v>0</v>
      </c>
      <c r="AN23" s="1240">
        <f t="shared" si="6"/>
        <v>0</v>
      </c>
      <c r="AO23" s="1242">
        <f>IF(ISNUMBER(((NºAsuntos!I23/NºAsuntos!G23)*11)/factor_trimestre),((NºAsuntos!I23/NºAsuntos!G23)*11)/factor_trimestre," - ")</f>
        <v>3.592128801431127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1849</v>
      </c>
      <c r="G31" s="1117">
        <f t="shared" si="12"/>
        <v>1929</v>
      </c>
      <c r="H31" s="1118">
        <f t="shared" si="12"/>
        <v>0</v>
      </c>
      <c r="I31" s="1117">
        <f t="shared" si="12"/>
        <v>0</v>
      </c>
      <c r="J31" s="1119">
        <f t="shared" si="12"/>
        <v>0</v>
      </c>
      <c r="K31" s="1117">
        <f t="shared" si="12"/>
        <v>0</v>
      </c>
      <c r="L31" s="1120">
        <f t="shared" si="12"/>
        <v>0</v>
      </c>
      <c r="M31" s="1117">
        <f t="shared" si="12"/>
        <v>0</v>
      </c>
      <c r="N31" s="1118">
        <f t="shared" si="12"/>
        <v>242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1136</v>
      </c>
      <c r="Z31" s="1124">
        <f t="shared" si="13"/>
        <v>228</v>
      </c>
      <c r="AA31" s="1125">
        <f t="shared" si="13"/>
        <v>2043</v>
      </c>
      <c r="AB31" s="1125">
        <f t="shared" si="13"/>
        <v>0</v>
      </c>
      <c r="AC31" s="1125">
        <f t="shared" si="13"/>
        <v>0</v>
      </c>
      <c r="AD31" s="1126">
        <f t="shared" si="13"/>
        <v>0</v>
      </c>
      <c r="AE31" s="1126">
        <f t="shared" si="13"/>
        <v>4931</v>
      </c>
      <c r="AF31" s="1127">
        <f t="shared" si="13"/>
        <v>0</v>
      </c>
      <c r="AG31" s="1128">
        <f t="shared" si="13"/>
        <v>0</v>
      </c>
      <c r="AH31" s="1129">
        <f t="shared" si="13"/>
        <v>0</v>
      </c>
      <c r="AI31" s="1127">
        <f t="shared" si="13"/>
        <v>0</v>
      </c>
      <c r="AJ31" s="1117">
        <f t="shared" si="13"/>
        <v>290</v>
      </c>
      <c r="AK31" s="1117">
        <f t="shared" si="13"/>
        <v>917</v>
      </c>
      <c r="AL31" s="1117">
        <f t="shared" si="13"/>
        <v>0</v>
      </c>
      <c r="AM31" s="1130">
        <f t="shared" si="13"/>
        <v>0</v>
      </c>
      <c r="AN31" s="1120">
        <f>IF(ISNUMBER(Datos!K31/Datos!J31),Datos!K31/Datos!J31," - ")</f>
        <v>0.84914735461303015</v>
      </c>
      <c r="AO31" s="1120">
        <f>IF(ISNUMBER(FIND("06",Criterios!A8,1)),(IF(ISNUMBER(((Datos!R31/Datos!Q31)*11)/factor_trimestre),((Datos!R31/Datos!Q31)*11)/factor_trimestre," - ")),(IF(ISNUMBER(((Datos!L31/Datos!K31)*11)/factor_trimestre),((Datos!L31/Datos!K31)*11)/factor_trimestre," - ")))</f>
        <v>5.6168898043254378</v>
      </c>
      <c r="AP31" s="1131" t="str">
        <f>IF(ISNUMBER(Datos!CI31/Datos!CJ31),Datos!CI31/Datos!CJ31," - ")</f>
        <v xml:space="preserve"> - </v>
      </c>
      <c r="AQ31" s="1131">
        <f>IF(OR(ISNUMBER(FIND("01",Criterios!A8,1)),ISNUMBER(FIND("02",Criterios!A8,1)),ISNUMBER(FIND("03",Criterios!A8,1)),ISNUMBER(FIND("04",Criterios!A8,1))),(J31-Y31+K31)/(F31-K31),(I31-Y31+K31)/(F31-K31))</f>
        <v>-0.61438615467820445</v>
      </c>
      <c r="AR31" s="1131">
        <f>IF(ISNUMBER((Datos!P31-Datos!Q31+O31)/(Datos!R31-Datos!P31+Datos!Q31-O31)),(Datos!P31-Datos!Q31+O31)/(Datos!R31-Datos!P31+Datos!Q31-O31)," - ")</f>
        <v>2.847264592231035E-3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551.14285714285711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925.54085089026012</v>
      </c>
      <c r="G33" s="674">
        <f>IF(ISNUMBER(STDEV(G8:G30)),STDEV(G8:G30),"-")</f>
        <v>888.68637673280227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76.828194229536777</v>
      </c>
      <c r="AK33" s="276"/>
      <c r="AL33" s="276">
        <f>IF(ISNUMBER(STDEV(AL8:AL30)),STDEV(AL8:AL30),"-")</f>
        <v>0</v>
      </c>
      <c r="AM33" s="278">
        <f>IF(ISNUMBER(STDEV(AM8:AM30)),STDEV(AM8:AM30),"-")</f>
        <v>0</v>
      </c>
      <c r="AN33" s="660">
        <f>IF(ISNUMBER(STDEV(AN8:AN30)),STDEV(AN8:AN30),"-")</f>
        <v>0</v>
      </c>
      <c r="AO33" s="661">
        <f>IF(ISNUMBER(STDEV(AO8:AO30)),STDEV(AO8:AO30),"-")</f>
        <v>2.7691242406857812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80bfpxjbkREAIpVv+id+67wnPLorOClpKdg1/UCjIBkbjSZ1BXLOUH34nFxGAYSsElRZNECxEj5S3yGCnbV29A==" saltValue="t7ZZNt2E2BHZ8s1aGzS9m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uFJp/y9go1wqyNN615utUBa+jca0BZ4ckQKw2hC+xn2Fs0nA7jlXbzhL5K+52mnibbPRUh6csFEGfBX0Adtrg==" saltValue="sLwqCrIiSBfZ7ov6N0YWV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BWM7mag6yKKK83WhQwUt5y+MDfpUALMeaYEzEYfCKX1oJlvIMdce85mOVTe1X2NmlbLq9ECPjl7XJw2xjTHw==" saltValue="kU4L1nODfofDCTMffdZjk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GIRONA  Resumenes por Partidos Judiciales  SANTA COLOMA DE FARNERS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0.20117647058823529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0.14225324656811722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RiMg9s1IJ8hyxR/EYRwVILWv0p1bIVI4b99QI5SshTV7xIyCi7WXQuOogj7c4Nmc5ckkICBnFC5jTxcz7CEuRA==" saltValue="txu++SSPFOouByaiQDJhb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CVg7YEjMJtRru3TNOfCpmbkrMgcwt3fqZUQR1WtVZ7dm3MjgfYgWg+bKdYlOnv9zkiSrYBtpx19IXGjzJEvdaw==" saltValue="prLV2/8aTZEA9LsfoRAK3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GIRONA</v>
      </c>
      <c r="D3" s="436"/>
      <c r="E3" s="436"/>
      <c r="F3" s="436"/>
    </row>
    <row r="4" spans="1:14" ht="13.5" thickBot="1">
      <c r="A4" s="436"/>
      <c r="B4" s="439" t="str">
        <f>Criterios!A11 &amp;"  "&amp;Criterios!B11</f>
        <v>Resumenes por Partidos Judiciales  SANTA COLOMA DE FARNERS</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38</v>
      </c>
      <c r="D10" s="452">
        <f>IF(ISNUMBER(C10/Datos!BH10),C10/Datos!BH10," - ")</f>
        <v>38</v>
      </c>
      <c r="E10" s="451">
        <f>IF(ISNUMBER(Datos!J10),Datos!J10," - ")</f>
        <v>15</v>
      </c>
      <c r="F10" s="452">
        <f>IF(ISNUMBER(E10/B10),E10/B10," - ")</f>
        <v>15</v>
      </c>
      <c r="G10" s="451">
        <f>IF(ISNUMBER(Datos!K10),Datos!K10," - ")</f>
        <v>18</v>
      </c>
      <c r="H10" s="452">
        <f>IF(ISNUMBER(G10/B10),G10/B10," - ")</f>
        <v>18</v>
      </c>
      <c r="I10" s="451">
        <f>IF(ISNUMBER(Datos!L10),Datos!L10," - ")</f>
        <v>35</v>
      </c>
      <c r="J10" s="452">
        <f>IF(ISNUMBER(I10/B10),I10/B10," - ")</f>
        <v>35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3205</v>
      </c>
      <c r="D12" s="452">
        <f>IF(ISNUMBER(C12/Datos!BH12),C12/Datos!BH12," - ")</f>
        <v>801.25</v>
      </c>
      <c r="E12" s="451">
        <f>IF(ISNUMBER(IF(J_V="SI",Datos!J12,Datos!J12+Datos!Z12)),IF(J_V="SI",Datos!J12,Datos!J12+Datos!Z12)," - ")</f>
        <v>1064</v>
      </c>
      <c r="F12" s="452">
        <f>IF(ISNUMBER(E12/B12),E12/B12," - ")</f>
        <v>266</v>
      </c>
      <c r="G12" s="451">
        <f>IF(ISNUMBER(IF(J_V="SI",Datos!K12,Datos!K12+Datos!AA12)),IF(J_V="SI",Datos!K12,Datos!K12+Datos!AA12)," - ")</f>
        <v>832</v>
      </c>
      <c r="H12" s="452">
        <f>IF(ISNUMBER(G12/B12),G12/B12," - ")</f>
        <v>208</v>
      </c>
      <c r="I12" s="451">
        <f>IF(ISNUMBER(IF(J_V="SI",Datos!L12,Datos!L12+Datos!AB12)),IF(J_V="SI",Datos!L12,Datos!L12+Datos!AB12)," - ")</f>
        <v>3437</v>
      </c>
      <c r="J12" s="452">
        <f>IF(ISNUMBER(I12/B12),I12/B12," - ")</f>
        <v>859.25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3243</v>
      </c>
      <c r="D14" s="1147" t="str">
        <f>IF(ISNUMBER(C14/Datos!BI14),C14/Datos!BI14," - ")</f>
        <v xml:space="preserve"> - </v>
      </c>
      <c r="E14" s="1146">
        <f>SUBTOTAL(9,E8:E13)</f>
        <v>1079</v>
      </c>
      <c r="F14" s="1147">
        <f>IF(ISNUMBER(E14/B14),E14/B14," - ")</f>
        <v>269.75</v>
      </c>
      <c r="G14" s="1146">
        <f>SUBTOTAL(9,G8:G13)</f>
        <v>850</v>
      </c>
      <c r="H14" s="1147">
        <f>IF(ISNUMBER(G14/B14),G14/B14," - ")</f>
        <v>212.5</v>
      </c>
      <c r="I14" s="1146">
        <f>SUBTOTAL(9,I8:I13)</f>
        <v>3472</v>
      </c>
      <c r="J14" s="1147">
        <f>IF(ISNUMBER(I14/B14),I14/B14," - ")</f>
        <v>868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1811</v>
      </c>
      <c r="D17" s="452">
        <f>IF(ISNUMBER(C17/Datos!BH17),C17/Datos!BH17," - ")</f>
        <v>452.75</v>
      </c>
      <c r="E17" s="451">
        <f>IF(ISNUMBER(IF(D_I="SI",Datos!J17,Datos!J17+Datos!AD17)),IF(D_I="SI",Datos!J17,Datos!J17+Datos!AD17)," - ")</f>
        <v>1107</v>
      </c>
      <c r="F17" s="452">
        <f>IF(ISNUMBER(E17/B17),E17/B17," - ")</f>
        <v>276.75</v>
      </c>
      <c r="G17" s="451">
        <f>IF(ISNUMBER(IF(D_I="SI",Datos!K17,Datos!K17+Datos!AE17)),IF(D_I="SI",Datos!K17,Datos!K17+Datos!AE17)," - ")</f>
        <v>994</v>
      </c>
      <c r="H17" s="452">
        <f>IF(ISNUMBER(G17/B17),G17/B17," - ")</f>
        <v>248.5</v>
      </c>
      <c r="I17" s="451">
        <f>IF(ISNUMBER(IF(D_I="SI",Datos!L17,Datos!L17+Datos!AF17)),IF(D_I="SI",Datos!L17,Datos!L17+Datos!AF17)," - ")</f>
        <v>1924</v>
      </c>
      <c r="J17" s="452">
        <f>IF(ISNUMBER(I17/B17),I17/B17," - ")</f>
        <v>481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80</v>
      </c>
      <c r="D18" s="452">
        <f>IF(ISNUMBER(C18/Datos!BH18),C18/Datos!BH18," - ")</f>
        <v>80</v>
      </c>
      <c r="E18" s="451">
        <f>IF(ISNUMBER(IF(D_I="SI",Datos!J18,Datos!J18+Datos!AD18)),IF(D_I="SI",Datos!J18,Datos!J18+Datos!AD18)," - ")</f>
        <v>128</v>
      </c>
      <c r="F18" s="452">
        <f>IF(ISNUMBER(E18/B18),E18/B18," - ")</f>
        <v>128</v>
      </c>
      <c r="G18" s="451">
        <f>IF(ISNUMBER(IF(D_I="SI",Datos!K18,Datos!K18+Datos!AE18)),IF(D_I="SI",Datos!K18,Datos!K18+Datos!AE18)," - ")</f>
        <v>124</v>
      </c>
      <c r="H18" s="452">
        <f>IF(ISNUMBER(G18/B18),G18/B18," - ")</f>
        <v>124</v>
      </c>
      <c r="I18" s="451">
        <f>IF(ISNUMBER(IF(D_I="SI",Datos!L18,Datos!L18+Datos!AF18)),IF(D_I="SI",Datos!L18,Datos!L18+Datos!AF18)," - ")</f>
        <v>84</v>
      </c>
      <c r="J18" s="452">
        <f>IF(ISNUMBER(I18/B18),I18/B18," - ")</f>
        <v>84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1891</v>
      </c>
      <c r="D23" s="1147" t="str">
        <f>IF(ISNUMBER(C23/Datos!BI23),C23/Datos!BI23," - ")</f>
        <v xml:space="preserve"> - </v>
      </c>
      <c r="E23" s="1146">
        <f>SUBTOTAL(9,E15:E22)</f>
        <v>1235</v>
      </c>
      <c r="F23" s="1147">
        <f>IF(ISNUMBER(E23/B23),E23/B23," - ")</f>
        <v>308.75</v>
      </c>
      <c r="G23" s="1146">
        <f>SUBTOTAL(9,G15:G22)</f>
        <v>1118</v>
      </c>
      <c r="H23" s="1147">
        <f>IF(ISNUMBER(G23/B23),G23/B23," - ")</f>
        <v>279.5</v>
      </c>
      <c r="I23" s="1146">
        <f>SUBTOTAL(9,I15:I22)</f>
        <v>2008</v>
      </c>
      <c r="J23" s="1147">
        <f>IF(ISNUMBER(I23/B23),I23/B23," - ")</f>
        <v>502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5134</v>
      </c>
      <c r="D31" s="1085" t="str">
        <f>IF(ISNUMBER(C31/Datos!BI31),C31/Datos!BI31," - ")</f>
        <v xml:space="preserve"> - </v>
      </c>
      <c r="E31" s="1084">
        <f>SUBTOTAL(9,E9:E30)</f>
        <v>2314</v>
      </c>
      <c r="F31" s="1085">
        <f>IF(ISNUMBER(E31/B31),E31/B31," - ")</f>
        <v>578.5</v>
      </c>
      <c r="G31" s="1084">
        <f>SUBTOTAL(9,G9:G30)</f>
        <v>1968</v>
      </c>
      <c r="H31" s="1085">
        <f>IF(ISNUMBER(G31/B31),G31/B31," - ")</f>
        <v>492</v>
      </c>
      <c r="I31" s="1084">
        <f>SUBTOTAL(9,I9:I30)</f>
        <v>5480</v>
      </c>
      <c r="J31" s="1085">
        <f>IF(ISNUMBER(I31/B31),I31/B31," - ")</f>
        <v>1370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2hY/RKGROZgdUDvNl2a0h41RakBtOsQV2vJ+kQ84HcbjKFqH9MGxidV/4u9LGl130omQUMuRGS6LYVuDxMsc+A==" saltValue="gkZBzELC8UBbv2iS4yRCt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GIRONA  Resumenes por Partidos Judiciales  SANTA COLOMA DE FARNERS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38</v>
      </c>
      <c r="G10" s="906">
        <f>IF(ISNUMBER(Datos!I10),Datos!I10," - ")</f>
        <v>38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18</v>
      </c>
      <c r="AC10" s="905" t="str">
        <f>IF(ISNUMBER(IF(D_I="SI",DatosP!K18,DatosP!K18+DatosP!AE18)),IF(D_I="SI",DatosP!K18,DatosP!K18+DatosP!AE18)," - ")</f>
        <v xml:space="preserve"> - </v>
      </c>
      <c r="AD10" s="907"/>
      <c r="AE10" s="907"/>
      <c r="AF10" s="910">
        <f>IF(ISNUMBER(Datos!L10),Datos!L10,"-")</f>
        <v>35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v>
      </c>
      <c r="AM10" s="914">
        <f>IF(ISNUMBER(Datos!N10+DatosP!N18),Datos!N10+DatosP!N18," - ")</f>
        <v>7</v>
      </c>
      <c r="AN10" s="914">
        <f>IF(ISNUMBER(Datos!BW10+DatosP!BW18),Datos!BW10+DatosP!BW18," - ")</f>
        <v>0</v>
      </c>
      <c r="AO10" s="915">
        <f>IF(ISNUMBER(Datos!BX10+DatosP!BX18),Datos!BX10+DatosP!BX18," - ")</f>
        <v>0</v>
      </c>
      <c r="AP10" s="917">
        <f>IF(ISNUMBER(((Datos!L10/Datos!K10)*11)/factor_trimestre),((Datos!L10/Datos!K10)*11)/factor_trimestre," - ")</f>
        <v>3.8888888888888888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228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217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4741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164</v>
      </c>
      <c r="AM12" s="914">
        <f>IF(ISNUMBER(Datos!N12+DatosP!N17),Datos!N12+DatosP!N17," - ")</f>
        <v>310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8.2620192307692299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2.3255813953488372E-3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38</v>
      </c>
      <c r="G14" s="1256">
        <f t="shared" si="0"/>
        <v>38</v>
      </c>
      <c r="H14" s="1256">
        <f t="shared" si="0"/>
        <v>0</v>
      </c>
      <c r="I14" s="1258">
        <f t="shared" si="0"/>
        <v>0</v>
      </c>
      <c r="J14" s="1257">
        <f t="shared" si="0"/>
        <v>0</v>
      </c>
      <c r="K14" s="1257">
        <f t="shared" si="0"/>
        <v>0</v>
      </c>
      <c r="L14" s="1259">
        <f t="shared" si="0"/>
        <v>0</v>
      </c>
      <c r="M14" s="1259">
        <f t="shared" si="0"/>
        <v>0</v>
      </c>
      <c r="N14" s="1257">
        <f t="shared" si="0"/>
        <v>229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18</v>
      </c>
      <c r="AC14" s="1257">
        <f t="shared" si="1"/>
        <v>0</v>
      </c>
      <c r="AD14" s="1257">
        <f t="shared" si="1"/>
        <v>217</v>
      </c>
      <c r="AE14" s="1257">
        <f t="shared" si="1"/>
        <v>0</v>
      </c>
      <c r="AF14" s="1257">
        <f t="shared" si="1"/>
        <v>35</v>
      </c>
      <c r="AG14" s="1257">
        <f t="shared" si="1"/>
        <v>0</v>
      </c>
      <c r="AH14" s="1257">
        <f t="shared" si="1"/>
        <v>4741</v>
      </c>
      <c r="AI14" s="1257">
        <f t="shared" si="1"/>
        <v>0</v>
      </c>
      <c r="AJ14" s="1257">
        <f t="shared" si="1"/>
        <v>0</v>
      </c>
      <c r="AK14" s="1257">
        <f t="shared" si="1"/>
        <v>0</v>
      </c>
      <c r="AL14" s="1257">
        <f t="shared" si="1"/>
        <v>171</v>
      </c>
      <c r="AM14" s="1257">
        <f t="shared" si="1"/>
        <v>317</v>
      </c>
      <c r="AN14" s="1257">
        <f t="shared" si="1"/>
        <v>0</v>
      </c>
      <c r="AO14" s="1257">
        <f t="shared" si="1"/>
        <v>0</v>
      </c>
      <c r="AP14" s="1262">
        <f>IF(ISNUMBER(((Datos!L14/Datos!K14)*11)/factor_trimestre),((Datos!L14/Datos!K14)*11)/factor_trimestre," - ")</f>
        <v>8.3640776699029118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-0.47368421052631576</v>
      </c>
      <c r="AU14" s="1257" t="str">
        <f>IF(ISNUMBER((DatosP!#REF!-DatosP!#REF!+DatosP!#REF!)/(DatosP!#REF!+DatosP!#REF!-DatosP!#REF!-DatosP!#REF!)),(DatosP!#REF!-DatosP!#REF!+DatosP!#REF!)/(DatosP!#REF!+DatosP!#REF!-DatosP!#REF!-DatosP!#REF!)," - ")</f>
        <v xml:space="preserve"> - </v>
      </c>
      <c r="AV14" s="1263">
        <f>SUBTOTAL(9,AV9:AV13)</f>
        <v>2.3255813953488372E-3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3.592128801431127</v>
      </c>
      <c r="AQ23" s="1262">
        <f>IF(ISNUMBER(((Datos!M23/Datos!L23)*11)/factor_trimestre),((Datos!M23/Datos!L23)*11)/factor_trimestre," - ")</f>
        <v>0.11852589641434262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2.7397260273972601E-2</v>
      </c>
      <c r="AW23" s="1265">
        <f>IF(ISNUMBER((Datos!Q23-Datos!R23)/(Datos!S23-Datos!Q23+Datos!R23)),(Datos!Q23-Datos!R23)/(Datos!S23-Datos!Q23+Datos!R23)," - ")</f>
        <v>-8.1174438687392061E-2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38</v>
      </c>
      <c r="G31" s="1278">
        <f t="shared" si="8"/>
        <v>38</v>
      </c>
      <c r="H31" s="1278">
        <f t="shared" si="8"/>
        <v>0</v>
      </c>
      <c r="I31" s="1279">
        <f t="shared" si="8"/>
        <v>0</v>
      </c>
      <c r="J31" s="1280">
        <f t="shared" si="8"/>
        <v>0</v>
      </c>
      <c r="K31" s="1280">
        <f t="shared" si="8"/>
        <v>0</v>
      </c>
      <c r="L31" s="1280">
        <f t="shared" si="8"/>
        <v>0</v>
      </c>
      <c r="M31" s="1280">
        <f t="shared" si="8"/>
        <v>0</v>
      </c>
      <c r="N31" s="1279">
        <f t="shared" si="8"/>
        <v>229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18</v>
      </c>
      <c r="AC31" s="1284">
        <f t="shared" si="9"/>
        <v>0</v>
      </c>
      <c r="AD31" s="1284">
        <f t="shared" si="9"/>
        <v>217</v>
      </c>
      <c r="AE31" s="1284">
        <f t="shared" si="9"/>
        <v>0</v>
      </c>
      <c r="AF31" s="1285">
        <f t="shared" si="9"/>
        <v>35</v>
      </c>
      <c r="AG31" s="1285">
        <f t="shared" si="9"/>
        <v>0</v>
      </c>
      <c r="AH31" s="1285">
        <f t="shared" si="9"/>
        <v>4741</v>
      </c>
      <c r="AI31" s="1285">
        <f t="shared" si="9"/>
        <v>0</v>
      </c>
      <c r="AJ31" s="1286">
        <f t="shared" si="9"/>
        <v>0</v>
      </c>
      <c r="AK31" s="1286">
        <f t="shared" si="9"/>
        <v>0</v>
      </c>
      <c r="AL31" s="1278">
        <f t="shared" si="9"/>
        <v>171</v>
      </c>
      <c r="AM31" s="1278">
        <f t="shared" si="9"/>
        <v>317</v>
      </c>
      <c r="AN31" s="1278">
        <f t="shared" si="9"/>
        <v>0</v>
      </c>
      <c r="AO31" s="1278">
        <f t="shared" si="9"/>
        <v>0</v>
      </c>
      <c r="AP31" s="1278">
        <f>IF(ISNUMBER(((Datos!L31/Datos!K31)*11)/factor_trimestre),((Datos!L31/Datos!K31)*11)/factor_trimestre," - ")</f>
        <v>5.6168898043254378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-0.47368421052631576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2.847264592231035E-3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20.813457185196313</v>
      </c>
      <c r="G33" s="1007">
        <f>IF(ISNUMBER(STDEV(G8:G30)),STDEV(G8:G30),"-")</f>
        <v>20.813457185196313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9.8590060350929907</v>
      </c>
      <c r="AC33" s="1008">
        <f>IF(ISNUMBER(STDEV(AC8:AC30)),STDEV(AC8:AC30),"-")</f>
        <v>0</v>
      </c>
      <c r="AD33" s="1011"/>
      <c r="AE33" s="1011"/>
      <c r="AF33" s="1011"/>
      <c r="AG33" s="1011"/>
      <c r="AH33" s="1011"/>
      <c r="AI33" s="1011"/>
      <c r="AJ33" s="1012">
        <f>IF(ISNUMBER(STDEV(AJ8:AJ30)),STDEV(AJ8:AJ30),"-")</f>
        <v>0</v>
      </c>
      <c r="AK33" s="1014"/>
      <c r="AL33" s="1006">
        <f>IF(ISNUMBER(STDEV(AL8:AL30)),STDEV(AL8:AL30),"-")</f>
        <v>85.664461709626124</v>
      </c>
      <c r="AM33" s="1006"/>
      <c r="AN33" s="1006">
        <f>IF(ISNUMBER(STDEV(AN8:AN30)),STDEV(AN8:AN30),"-")</f>
        <v>0</v>
      </c>
      <c r="AO33" s="1012">
        <f>IF(ISNUMBER(STDEV(AO8:AO30)),STDEV(AO8:AO30),"-")</f>
        <v>0</v>
      </c>
      <c r="AP33" s="1065">
        <f>IF(ISNUMBER(STDEV(AP8:AP30)),STDEV(AP8:AP30),"-")</f>
        <v>2.6430638583631718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EuKaCOgGxojr7JvHOTEaPCN6pf+k0Yax/U0U68rpbs5xfWFYkJ2E2L0pzsNPrnn6/WW72R+M+t43HxH1pPT9vA==" saltValue="F+sH5YmYuMuCqNO6HmBS1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GIRONA</v>
      </c>
      <c r="C3" s="463"/>
      <c r="F3" s="436"/>
      <c r="G3" s="436"/>
      <c r="H3" s="436"/>
    </row>
    <row r="4" spans="1:15" ht="13.5" thickBot="1">
      <c r="A4" s="436"/>
      <c r="B4" s="439" t="str">
        <f>Criterios!A11 &amp;"  "&amp;Criterios!B11</f>
        <v>Resumenes por Partidos Judiciales  SANTA COLOMA DE FARNERS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XvfPFpAeWBy7dxdCkcbN2jHBoclomQpkYspDZ9kAXe/oZFnqTFBUfP/5sEeG4xpjgF0Me8T8oJBRcynx5jt66Q==" saltValue="cHKhp83K/LL6J/No/BJb0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GIRONA</v>
      </c>
      <c r="C3" s="475"/>
      <c r="D3" s="476"/>
    </row>
    <row r="4" spans="1:9" ht="13.5" thickBot="1">
      <c r="B4" s="477" t="str">
        <f>Criterios!A11 &amp;"  "&amp;Criterios!B11</f>
        <v>Resumenes por Partidos Judiciales  SANTA COLOMA DE FARNERS</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7</v>
      </c>
      <c r="E10" s="452">
        <f>IF(ISNUMBER(D10/B10),D10/B10," - ")</f>
        <v>7</v>
      </c>
      <c r="F10" s="451">
        <f>IF(ISNUMBER(Datos!N10),Datos!N10," - ")</f>
        <v>7</v>
      </c>
      <c r="G10" s="452">
        <f>IF(ISNUMBER(F10/B10),F10/B10," - ")</f>
        <v>7</v>
      </c>
      <c r="H10" s="451">
        <f>IF(ISNUMBER(Datos!O10),Datos!O10," - ")</f>
        <v>6</v>
      </c>
      <c r="I10" s="452">
        <f t="shared" ref="I10:I13" si="2">IF(ISNUMBER(H10/B10),H10/B10," - ")</f>
        <v>6</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164</v>
      </c>
      <c r="E12" s="452">
        <f t="shared" si="0"/>
        <v>41</v>
      </c>
      <c r="F12" s="451">
        <f>IF(ISNUMBER(Datos!N12),Datos!N12," - ")</f>
        <v>310</v>
      </c>
      <c r="G12" s="452">
        <f t="shared" si="1"/>
        <v>77.5</v>
      </c>
      <c r="H12" s="451">
        <f>IF(ISNUMBER(Datos!O12),Datos!O12," - ")</f>
        <v>352</v>
      </c>
      <c r="I12" s="452">
        <f t="shared" si="2"/>
        <v>88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171</v>
      </c>
      <c r="E14" s="1147">
        <f t="shared" si="0"/>
        <v>34.200000000000003</v>
      </c>
      <c r="F14" s="1146">
        <f>SUBTOTAL(9,F9:F13)</f>
        <v>317</v>
      </c>
      <c r="G14" s="1147">
        <f t="shared" si="1"/>
        <v>63.4</v>
      </c>
      <c r="H14" s="1146">
        <f>SUBTOTAL(9,H9:H13)</f>
        <v>358</v>
      </c>
      <c r="I14" s="1147">
        <f>IF(ISNUMBER(H14/B14),H14/B14," - ")</f>
        <v>71.599999999999994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114</v>
      </c>
      <c r="E17" s="452">
        <f t="shared" si="3"/>
        <v>28.5</v>
      </c>
      <c r="F17" s="451">
        <f>IF(ISNUMBER(Datos!N17),Datos!N17," - ")</f>
        <v>567</v>
      </c>
      <c r="G17" s="452">
        <f t="shared" si="4"/>
        <v>141.75</v>
      </c>
      <c r="H17" s="451">
        <f>IF(ISNUMBER(Datos!O17),Datos!O17," - ")</f>
        <v>0</v>
      </c>
      <c r="I17" s="452">
        <f t="shared" si="5"/>
        <v>0</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33</v>
      </c>
      <c r="G18" s="452">
        <f>IF(ISNUMBER(F18/B18),F18/B18," - ")</f>
        <v>33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119</v>
      </c>
      <c r="E23" s="1147">
        <f t="shared" si="3"/>
        <v>23.8</v>
      </c>
      <c r="F23" s="1146">
        <f>SUBTOTAL(9,F16:F22)</f>
        <v>600</v>
      </c>
      <c r="G23" s="1147">
        <f t="shared" si="4"/>
        <v>120</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290</v>
      </c>
      <c r="E31" s="1085">
        <f>IF(ISNUMBER(D31/B31),D31/B31," - ")</f>
        <v>72.5</v>
      </c>
      <c r="F31" s="1084">
        <f>SUBTOTAL(9,F8:F30)</f>
        <v>917</v>
      </c>
      <c r="G31" s="1085">
        <f>IF(ISNUMBER(F31/B31),F31/B31," - ")</f>
        <v>229.25</v>
      </c>
      <c r="H31" s="1084">
        <f>SUBTOTAL(9,H8:H30)</f>
        <v>358</v>
      </c>
      <c r="I31" s="1085">
        <f>IF(ISNUMBER(H31/B31),H31/B31," - ")</f>
        <v>89.5</v>
      </c>
    </row>
    <row r="34" spans="1:1">
      <c r="A34" s="439" t="str">
        <f>Criterios!A4</f>
        <v>Fecha Informe: 06 may. 2023</v>
      </c>
    </row>
    <row r="39" spans="1:1">
      <c r="A39" s="462"/>
    </row>
  </sheetData>
  <sheetProtection algorithmName="SHA-512" hashValue="RWVLIZ/LM1WCRRF3n0TuP56Rd/uU5KoJChXfKirdweJkFOs/fGKNI5iRWYc56tsAIm/+BZRXwJqUivmS67U1Mg==" saltValue="X2afCZgYTyE/FrF1ljsxL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GIRONA</v>
      </c>
    </row>
    <row r="4" spans="1:4" ht="13.5" thickBot="1">
      <c r="B4" s="439" t="str">
        <f>Criterios!A11 &amp;"  "&amp;Criterios!B11</f>
        <v>Resumenes por Partidos Judiciales  SANTA COLOMA DE FARNERS</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2</v>
      </c>
      <c r="D10" s="456">
        <f>IF(ISNUMBER(Datos!R10),Datos!R10," - ")</f>
        <v>40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228</v>
      </c>
      <c r="C12" s="489">
        <f>IF(ISNUMBER(Datos!Q12),Datos!Q12," - ")</f>
        <v>217</v>
      </c>
      <c r="D12" s="456">
        <f>IF(ISNUMBER(Datos!R12),Datos!R12," - ")</f>
        <v>4741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229</v>
      </c>
      <c r="C14" s="1150">
        <f>SUBTOTAL(9,C9:C13)</f>
        <v>219</v>
      </c>
      <c r="D14" s="1148">
        <f>SUBTOTAL(9,D9:D13)</f>
        <v>4781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13</v>
      </c>
      <c r="C17" s="489">
        <f>IF(ISNUMBER(Datos!Q17),Datos!Q17," - ")</f>
        <v>9</v>
      </c>
      <c r="D17" s="456">
        <f>IF(ISNUMBER(Datos!R17),Datos!R17," - ")</f>
        <v>150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v>
      </c>
      <c r="C23" s="1150">
        <f>SUBTOTAL(9,C16:C22)</f>
        <v>9</v>
      </c>
      <c r="D23" s="1148">
        <f>SUBTOTAL(9,D16:D22)</f>
        <v>150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242</v>
      </c>
      <c r="C31" s="1089">
        <f>SUBTOTAL(9,C8:C30)</f>
        <v>228</v>
      </c>
      <c r="D31" s="1090">
        <f>SUBTOTAL(9,D8:D30)</f>
        <v>4931</v>
      </c>
    </row>
    <row r="32" spans="1:4" ht="7.5" customHeight="1"/>
    <row r="33" spans="1:1" ht="6" customHeight="1"/>
    <row r="34" spans="1:1">
      <c r="A34" s="439" t="str">
        <f>Criterios!A4</f>
        <v>Fecha Informe: 06 may. 2023</v>
      </c>
    </row>
    <row r="39" spans="1:1">
      <c r="A39" s="462"/>
    </row>
  </sheetData>
  <sheetProtection algorithmName="SHA-512" hashValue="qKniPFeU3Rh4CjazcgfqWVE24VKYKYmcwy9X0nlvf0IfoDRncxbVO6tTWJzqc1B2J0mnBxu67jKEaU/nbFvhmg==" saltValue="sNOXDIDws9YjgVNqVb70b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GIRONA</v>
      </c>
    </row>
    <row r="4" spans="1:11" ht="10.5" customHeight="1" thickBot="1">
      <c r="B4" s="439" t="str">
        <f>Criterios!A11 &amp;"  "&amp;Criterios!B11</f>
        <v>Resumenes por Partidos Judiciales  SANTA COLOMA DE FARNERS</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-0.20833333333333334</v>
      </c>
      <c r="C10" s="515">
        <f>IF(ISNUMBER((Datos!J10-Datos!T10)/Datos!T10),(Datos!J10-Datos!T10)/Datos!T10," - ")</f>
        <v>-6.25E-2</v>
      </c>
      <c r="D10" s="515">
        <f>IF(ISNUMBER((Datos!K10-Datos!U10)/Datos!U10),(Datos!K10-Datos!U10)/Datos!U10," - ")</f>
        <v>0.8</v>
      </c>
      <c r="E10" s="515">
        <f>IF(ISNUMBER((Datos!L10-Datos!V10)/Datos!V10),(Datos!L10-Datos!V10)/Datos!V10," - ")</f>
        <v>-0.35185185185185186</v>
      </c>
      <c r="F10" s="515">
        <f>IF(ISNUMBER((Datos!M10-Datos!W10)/Datos!W10),(Datos!M10-Datos!W10)/Datos!W10," - ")</f>
        <v>0.75</v>
      </c>
      <c r="G10" s="516">
        <f>IF(ISNUMBER((Datos!N10-Datos!X10)/Datos!X10),(Datos!N10-Datos!X10)/Datos!X10," - ")</f>
        <v>6</v>
      </c>
      <c r="H10" s="514">
        <f>IF(ISNUMBER(((NºAsuntos!G10/NºAsuntos!E10)-Datos!BD10)/Datos!BD10),((NºAsuntos!G10/NºAsuntos!E10)-Datos!BD10)/Datos!BD10," - ")</f>
        <v>0.91999999999999993</v>
      </c>
      <c r="I10" s="515">
        <f>IF(ISNUMBER(((NºAsuntos!I10/NºAsuntos!G10)-Datos!BE10)/Datos!BE10),((NºAsuntos!I10/NºAsuntos!G10)-Datos!BE10)/Datos!BE10," - ")</f>
        <v>-0.63991769547325106</v>
      </c>
      <c r="J10" s="521">
        <f>IF(ISNUMBER((('Resol  Asuntos'!D10/NºAsuntos!G10)-Datos!BF10)/Datos!BF10),(('Resol  Asuntos'!D10/NºAsuntos!G10)-Datos!BF10)/Datos!BF10," - ")</f>
        <v>-2.7777777777777818E-2</v>
      </c>
      <c r="K10" s="522">
        <f>IF(ISNUMBER((((NºAsuntos!C10+NºAsuntos!E10)/NºAsuntos!G10)-Datos!BG10)/Datos!BG10),(((NºAsuntos!C10+NºAsuntos!E10)/NºAsuntos!G10)-Datos!BG10)/Datos!BG10," - ")</f>
        <v>-0.53993055555555558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0.27740135512156239</v>
      </c>
      <c r="C12" s="515">
        <f>IF(ISNUMBER(
   IF(J_V="SI",(Datos!J12-Datos!T12)/Datos!T12,(Datos!J12+Datos!Z12-(Datos!T12+Datos!AH12))/(Datos!T12+Datos!AH12))
     ),IF(J_V="SI",(Datos!J12-Datos!T12)/Datos!T12,(Datos!J12+Datos!Z12-(Datos!T12+Datos!AH12))/(Datos!T12+Datos!AH12))," - ")</f>
        <v>0.32338308457711445</v>
      </c>
      <c r="D12" s="515">
        <f>IF(ISNUMBER(
   IF(J_V="SI",(Datos!K12-Datos!U12)/Datos!U12,(Datos!K12+Datos!AA12-(Datos!U12+Datos!AI12))/(Datos!U12+Datos!AI12))
     ),IF(J_V="SI",(Datos!K12-Datos!U12)/Datos!U12,(Datos!K12+Datos!AA12-(Datos!U12+Datos!AI12))/(Datos!U12+Datos!AI12))," - ")</f>
        <v>0.11528150134048257</v>
      </c>
      <c r="E12" s="515">
        <f>IF(ISNUMBER(
   IF(J_V="SI",(Datos!L12-Datos!V12)/Datos!V12,(Datos!L12+Datos!AB12-(Datos!V12+Datos!AJ12))/(Datos!V12+Datos!AJ12))
     ),IF(J_V="SI",(Datos!L12-Datos!V12)/Datos!V12,(Datos!L12+Datos!AB12-(Datos!V12+Datos!AJ12))/(Datos!V12+Datos!AJ12))," - ")</f>
        <v>0.37260383386581469</v>
      </c>
      <c r="F12" s="515">
        <f>IF(ISNUMBER((Datos!M12-Datos!W12)/Datos!W12),(Datos!M12-Datos!W12)/Datos!W12," - ")</f>
        <v>-2.9585798816568046E-2</v>
      </c>
      <c r="G12" s="516">
        <f>IF(ISNUMBER((Datos!N12-Datos!X12)/Datos!X12),(Datos!N12-Datos!X12)/Datos!X12," - ")</f>
        <v>0.22047244094488189</v>
      </c>
      <c r="H12" s="514">
        <f>IF(ISNUMBER(((NºAsuntos!G12/NºAsuntos!E12)-Datos!BD12)/Datos!BD12),((NºAsuntos!G12/NºAsuntos!E12)-Datos!BD12)/Datos!BD12," - ")</f>
        <v>-0.15724969259610161</v>
      </c>
      <c r="I12" s="515">
        <f>IF(ISNUMBER(((NºAsuntos!I12/NºAsuntos!G12)-Datos!BE12)/Datos!BE12),((NºAsuntos!I12/NºAsuntos!G12)-Datos!BE12)/Datos!BE12," - ")</f>
        <v>0.23072411065372314</v>
      </c>
      <c r="J12" s="521">
        <f>IF(ISNUMBER((('Resol  Asuntos'!D12/NºAsuntos!G12)-Datos!BF12)/Datos!BF12),(('Resol  Asuntos'!D12/NºAsuntos!G12)-Datos!BF12)/Datos!BF12," - ")</f>
        <v>-0.42107056329497278</v>
      </c>
      <c r="K12" s="522">
        <f>IF(ISNUMBER((((NºAsuntos!C12+NºAsuntos!E12)/NºAsuntos!G12)-Datos!BG12)/Datos!BG12),(((NºAsuntos!C12+NºAsuntos!E12)/NºAsuntos!G12)-Datos!BG12)/Datos!BG12," - ")</f>
        <v>0.1553676948617333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0.26828314430973799</v>
      </c>
      <c r="C14" s="1152">
        <f>IF(ISNUMBER(
   IF(J_V="SI",(Datos!J14-Datos!T14)/Datos!T14,(Datos!J14+Datos!Z14-(Datos!T14+Datos!AH14))/(Datos!T14+Datos!AH14))
     ),IF(J_V="SI",(Datos!J14-Datos!T14)/Datos!T14,(Datos!J14+Datos!Z14-(Datos!T14+Datos!AH14))/(Datos!T14+Datos!AH14))," - ")</f>
        <v>0.31585365853658537</v>
      </c>
      <c r="D14" s="1152">
        <f>IF(ISNUMBER(
   IF(J_V="SI",(Datos!K14-Datos!U14)/Datos!U14,(Datos!K14+Datos!AA14-(Datos!U14+Datos!AI14))/(Datos!U14+Datos!AI14))
     ),IF(J_V="SI",(Datos!K14-Datos!U14)/Datos!U14,(Datos!K14+Datos!AA14-(Datos!U14+Datos!AI14))/(Datos!U14+Datos!AI14))," - ")</f>
        <v>0.12433862433862433</v>
      </c>
      <c r="E14" s="1152">
        <f>IF(ISNUMBER(
   IF(J_V="SI",(Datos!L14-Datos!V14)/Datos!V14,(Datos!L14+Datos!AB14-(Datos!V14+Datos!AJ14))/(Datos!V14+Datos!AJ14))
     ),IF(J_V="SI",(Datos!L14-Datos!V14)/Datos!V14,(Datos!L14+Datos!AB14-(Datos!V14+Datos!AJ14))/(Datos!V14+Datos!AJ14))," - ")</f>
        <v>0.35731039874902265</v>
      </c>
      <c r="F14" s="1153">
        <f>IF(ISNUMBER((Datos!M14-Datos!W14)/Datos!W14),(Datos!M14-Datos!W14)/Datos!W14," - ")</f>
        <v>-1.1560693641618497E-2</v>
      </c>
      <c r="G14" s="1154">
        <f>IF(ISNUMBER((Datos!N14-Datos!X14)/Datos!X14),(Datos!N14-Datos!X14)/Datos!X14," - ")</f>
        <v>0.24313725490196078</v>
      </c>
      <c r="H14" s="1154">
        <f>IF(ISNUMBER(((NºAsuntos!G14/NºAsuntos!E14)-Datos!BD14)/Datos!BD14),((NºAsuntos!G14/NºAsuntos!E14)-Datos!BD14)/Datos!BD14," - ")</f>
        <v>-0.14554432626721786</v>
      </c>
      <c r="I14" s="1154">
        <f>IF(ISNUMBER(((NºAsuntos!I14/NºAsuntos!G14)-Datos!BE14)/Datos!BE14),((NºAsuntos!I14/NºAsuntos!G14)-Datos!BE14)/Datos!BE14," - ")</f>
        <v>0.20720783700501313</v>
      </c>
      <c r="J14" s="1154">
        <f>IF(ISNUMBER((('Resol  Asuntos'!D14/NºAsuntos!G14)-Datos!BF14)/Datos!BF14),(('Resol  Asuntos'!D14/NºAsuntos!G14)-Datos!BF14)/Datos!BF14," - ")</f>
        <v>-0.4105061559507524</v>
      </c>
      <c r="K14" s="1154">
        <f>IF(ISNUMBER((((NºAsuntos!C14+NºAsuntos!E14)/NºAsuntos!G14)-Datos!BG14)/Datos!BG14),(((NºAsuntos!C14+NºAsuntos!E14)/NºAsuntos!G14)-Datos!BG14)/Datos!BG14," - ")</f>
        <v>0.13829956975387145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0.2489655172413793</v>
      </c>
      <c r="C17" s="515">
        <f>IF(ISNUMBER(
   IF(D_I="SI",(Datos!J17-Datos!T17)/Datos!T17,(Datos!J17+Datos!AD17-(Datos!T17+Datos!AL17))/(Datos!T17+Datos!AL17))
     ),IF(D_I="SI",(Datos!J17-Datos!T17)/Datos!T17,(Datos!J17+Datos!AD17-(Datos!T17+Datos!AL17))/(Datos!T17+Datos!AL17))," - ")</f>
        <v>-0.12073073868149325</v>
      </c>
      <c r="D17" s="515">
        <f>IF(ISNUMBER(
   IF(D_I="SI",(Datos!K17-Datos!U17)/Datos!U17,(Datos!K17+Datos!AE17-(Datos!U17+Datos!AM17))/(Datos!U17+Datos!AM17))
     ),IF(D_I="SI",(Datos!K17-Datos!U17)/Datos!U17,(Datos!K17+Datos!AE17-(Datos!U17+Datos!AM17))/(Datos!U17+Datos!AM17))," - ")</f>
        <v>-9.1407678244972576E-2</v>
      </c>
      <c r="E17" s="515">
        <f>IF(ISNUMBER(
   IF(D_I="SI",(Datos!L17-Datos!V17)/Datos!V17,(Datos!L17+Datos!AF17-(Datos!V17+Datos!AN17))/(Datos!V17+Datos!AN17))
     ),IF(D_I="SI",(Datos!L17-Datos!V17)/Datos!V17,(Datos!L17+Datos!AF17-(Datos!V17+Datos!AN17))/(Datos!V17+Datos!AN17))," - ")</f>
        <v>0.25833878351863965</v>
      </c>
      <c r="F17" s="515">
        <f>IF(ISNUMBER((Datos!M17-Datos!W17)/Datos!W17),(Datos!M17-Datos!W17)/Datos!W17," - ")</f>
        <v>-1.7241379310344827E-2</v>
      </c>
      <c r="G17" s="516">
        <f>IF(ISNUMBER((Datos!N17-Datos!X17)/Datos!X17),(Datos!N17-Datos!X17)/Datos!X17," - ")</f>
        <v>-0.14220877458396369</v>
      </c>
      <c r="H17" s="514">
        <f>IF(ISNUMBER(((NºAsuntos!G17/NºAsuntos!E17)-Datos!BD17)/Datos!BD17),((NºAsuntos!G17/NºAsuntos!E17)-Datos!BD17)/Datos!BD17," - ")</f>
        <v>3.334935238444401E-2</v>
      </c>
      <c r="I17" s="515">
        <f>IF(ISNUMBER(((NºAsuntos!I17/NºAsuntos!G17)-Datos!BE17)/Datos!BE17),((NºAsuntos!I17/NºAsuntos!G17)-Datos!BE17)/Datos!BE17," - ")</f>
        <v>0.38493222250441828</v>
      </c>
      <c r="J17" s="521">
        <f>IF(ISNUMBER((('Resol  Asuntos'!D17/NºAsuntos!G17)-Datos!BF17)/Datos!BF17),(('Resol  Asuntos'!D17/NºAsuntos!G17)-Datos!BF17)/Datos!BF17," - ")</f>
        <v>8.1627697217789577E-2</v>
      </c>
      <c r="K17" s="522">
        <f>IF(ISNUMBER((((NºAsuntos!C17+NºAsuntos!E17)/NºAsuntos!G17)-Datos!BG17)/Datos!BG17),(((NºAsuntos!C17+NºAsuntos!E17)/NºAsuntos!G17)-Datos!BG17)/Datos!BG17," - ")</f>
        <v>0.18551545522674626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-0.45205479452054792</v>
      </c>
      <c r="C18" s="515">
        <f>IF(ISNUMBER(
   IF(D_I="SI",(Datos!J18-Datos!T18)/Datos!T18,(Datos!J18+Datos!AD18-(Datos!T18+Datos!AL18))/(Datos!T18+Datos!AL18))
     ),IF(D_I="SI",(Datos!J18-Datos!T18)/Datos!T18,(Datos!J18+Datos!AD18-(Datos!T18+Datos!AL18))/(Datos!T18+Datos!AL18))," - ")</f>
        <v>7.874015748031496E-3</v>
      </c>
      <c r="D18" s="515">
        <f>IF(ISNUMBER(
   IF(D_I="SI",(Datos!K18-Datos!U18)/Datos!U18,(Datos!K18+Datos!AE18-(Datos!U18+Datos!AM18))/(Datos!U18+Datos!AM18))
     ),IF(D_I="SI",(Datos!K18-Datos!U18)/Datos!U18,(Datos!K18+Datos!AE18-(Datos!U18+Datos!AM18))/(Datos!U18+Datos!AM18))," - ")</f>
        <v>-0.16778523489932887</v>
      </c>
      <c r="E18" s="515">
        <f>IF(ISNUMBER(
   IF(D_I="SI",(Datos!L18-Datos!V18)/Datos!V18,(Datos!L18+Datos!AF18-(Datos!V18+Datos!AN18))/(Datos!V18+Datos!AN18))
     ),IF(D_I="SI",(Datos!L18-Datos!V18)/Datos!V18,(Datos!L18+Datos!AF18-(Datos!V18+Datos!AN18))/(Datos!V18+Datos!AN18))," - ")</f>
        <v>-0.32258064516129031</v>
      </c>
      <c r="F18" s="515">
        <f>IF(ISNUMBER((Datos!M18-Datos!W18)/Datos!W18),(Datos!M18-Datos!W18)/Datos!W18," - ")</f>
        <v>0.66666666666666663</v>
      </c>
      <c r="G18" s="516">
        <f>IF(ISNUMBER((Datos!N18-Datos!X18)/Datos!X18),(Datos!N18-Datos!X18)/Datos!X18," - ")</f>
        <v>0.5</v>
      </c>
      <c r="H18" s="514">
        <f>IF(ISNUMBER(((NºAsuntos!G18/NºAsuntos!E18)-Datos!BD18)/Datos!BD18),((NºAsuntos!G18/NºAsuntos!E18)-Datos!BD18)/Datos!BD18," - ")</f>
        <v>-0.17428691275167779</v>
      </c>
      <c r="I18" s="515">
        <f>IF(ISNUMBER(((NºAsuntos!I18/NºAsuntos!G18)-Datos!BE18)/Datos!BE18),((NºAsuntos!I18/NºAsuntos!G18)-Datos!BE18)/Datos!BE18," - ")</f>
        <v>-0.18600416233090539</v>
      </c>
      <c r="J18" s="521">
        <f>IF(ISNUMBER((('Resol  Asuntos'!D18/NºAsuntos!G18)-Datos!BF18)/Datos!BF18),(('Resol  Asuntos'!D18/NºAsuntos!G18)-Datos!BF18)/Datos!BF18," - ")</f>
        <v>1.0026881720430108</v>
      </c>
      <c r="K18" s="522">
        <f>IF(ISNUMBER((((NºAsuntos!C18+NºAsuntos!E18)/NºAsuntos!G18)-Datos!BG18)/Datos!BG18),(((NºAsuntos!C18+NºAsuntos!E18)/NºAsuntos!G18)-Datos!BG18)/Datos!BG18," - ")</f>
        <v>-8.4485407066052148E-2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0.18483709273182958</v>
      </c>
      <c r="C23" s="1152">
        <f>IF(ISNUMBER(
   IF(Criterios!B14="SI",(Datos!J23-Datos!T23)/Datos!T23,(Datos!J23+Datos!AD23-(Datos!T23+Datos!AL23))/(Datos!T23+Datos!AL23))
     ),IF(Criterios!B14="SI",(Datos!J23-Datos!T23)/Datos!T23,(Datos!J23+Datos!AD23-(Datos!T23+Datos!AL23))/(Datos!T23+Datos!AL23))," - ")</f>
        <v>-0.10894660894660894</v>
      </c>
      <c r="D23" s="1152">
        <f>IF(ISNUMBER(
   IF(Criterios!B14="SI",(Datos!K23-Datos!U23)/Datos!U23,(Datos!K23+Datos!AE23-(Datos!U23+Datos!AM23))/(Datos!U23+Datos!AM23))
     ),IF(Criterios!B14="SI",(Datos!K23-Datos!U23)/Datos!U23,(Datos!K23+Datos!AE23-(Datos!U23+Datos!AM23))/(Datos!U23+Datos!AM23))," - ")</f>
        <v>-0.1005631536604988</v>
      </c>
      <c r="E23" s="1152">
        <f>IF(ISNUMBER(
   IF(Criterios!B14="SI",(Datos!L23-Datos!V23)/Datos!V23,(Datos!L23+Datos!AF23-(Datos!V23+Datos!AN23))/(Datos!V23+Datos!AN23))
     ),IF(Criterios!B14="SI",(Datos!L23-Datos!V23)/Datos!V23,(Datos!L23+Datos!AF23-(Datos!V23+Datos!AN23))/(Datos!V23+Datos!AN23))," - ")</f>
        <v>0.21476104053236539</v>
      </c>
      <c r="F23" s="1153">
        <f>IF(ISNUMBER((Datos!M23-Datos!W23)/Datos!W23),(Datos!M23-Datos!W23)/Datos!W23," - ")</f>
        <v>0</v>
      </c>
      <c r="G23" s="1154">
        <f>IF(ISNUMBER((Datos!N23-Datos!X23)/Datos!X23),(Datos!N23-Datos!X23)/Datos!X23," - ")</f>
        <v>-0.12152269399707175</v>
      </c>
      <c r="H23" s="1154">
        <f>IF(ISNUMBER(((NºAsuntos!G23/NºAsuntos!E23)-Datos!BD23)/Datos!BD23),((NºAsuntos!G23/NºAsuntos!E23)-Datos!BD23)/Datos!BD23," - ")</f>
        <v>9.4084769445738296E-3</v>
      </c>
      <c r="I23" s="1154">
        <f>IF(ISNUMBER(((NºAsuntos!I23/NºAsuntos!G23)-Datos!BE23)/Datos!BE23),((NºAsuntos!I23/NºAsuntos!G23)-Datos!BE23)/Datos!BE23," - ")</f>
        <v>0.35057958263124339</v>
      </c>
      <c r="J23" s="1154">
        <f>IF(ISNUMBER((('Resol  Asuntos'!D23/NºAsuntos!G23)-Datos!BF23)/Datos!BF23),(('Resol  Asuntos'!D23/NºAsuntos!G23)-Datos!BF23)/Datos!BF23," - ")</f>
        <v>0.11180679785330956</v>
      </c>
      <c r="K23" s="1154">
        <f>IF(ISNUMBER((((NºAsuntos!C23+NºAsuntos!E23)/NºAsuntos!G23)-Datos!BG23)/Datos!BG23),(((NºAsuntos!C23+NºAsuntos!E23)/NºAsuntos!G23)-Datos!BG23)/Datos!BG23," - ")</f>
        <v>0.16549565730699042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0.23621478449313749</v>
      </c>
      <c r="C31" s="1092">
        <f>IF(ISNUMBER(
   IF(J_V="SI",(Datos!J31-Datos!T31)/Datos!T31,(Datos!J31+Datos!Z31-(Datos!T31+Datos!AH31))/(Datos!T31+Datos!AH31))
     ),IF(J_V="SI",(Datos!J31-Datos!T31)/Datos!T31,(Datos!J31+Datos!Z31-(Datos!T31+Datos!AH31))/(Datos!T31+Datos!AH31))," - ")</f>
        <v>4.8957388939256573E-2</v>
      </c>
      <c r="D31" s="1092">
        <f>IF(ISNUMBER(
   IF(J_V="SI",(Datos!K31-Datos!U31)/Datos!U31,(Datos!K31+Datos!AA31-(Datos!U31+Datos!AI31))/(Datos!U31+Datos!AI31))
     ),IF(J_V="SI",(Datos!K31-Datos!U31)/Datos!U31,(Datos!K31+Datos!AA31-(Datos!U31+Datos!AI31))/(Datos!U31+Datos!AI31))," - ")</f>
        <v>-1.5507753876938469E-2</v>
      </c>
      <c r="E31" s="1092">
        <f>IF(ISNUMBER(
   IF(J_V="SI",(Datos!L31-Datos!V31)/Datos!V31,(Datos!L31+Datos!AB31-(Datos!V31+Datos!AJ31))/(Datos!V31+Datos!AJ31))
     ),IF(J_V="SI",(Datos!L31-Datos!V31)/Datos!V31,(Datos!L31+Datos!AB31-(Datos!V31+Datos!AJ31))/(Datos!V31+Datos!AJ31))," - ")</f>
        <v>0.30135359772025649</v>
      </c>
      <c r="F31" s="1093">
        <f>IF(ISNUMBER((Datos!M31-Datos!W31)/Datos!W31),(Datos!M31-Datos!W31)/Datos!W31," - ")</f>
        <v>-6.8493150684931503E-3</v>
      </c>
      <c r="G31" s="1094">
        <f>IF(ISNUMBER((Datos!N31-Datos!X31)/Datos!X31),(Datos!N31-Datos!X31)/Datos!X31," - ")</f>
        <v>-2.2388059701492536E-2</v>
      </c>
      <c r="H31" s="1095">
        <f>IF(ISNUMBER((Tasas!B31-Datos!BD31)/Datos!BD31),(Tasas!B31-Datos!BD31)/Datos!BD31," - ")</f>
        <v>-6.1456398034799548E-2</v>
      </c>
      <c r="I31" s="1096">
        <f>IF(ISNUMBER((Tasas!C31-Datos!BE31)/Datos!BE31),(Tasas!C31-Datos!BE31)/Datos!BE31," - ")</f>
        <v>0.32185256191198813</v>
      </c>
      <c r="J31" s="1097">
        <f>IF(ISNUMBER((Tasas!D31-Datos!BF31)/Datos!BF31),(Tasas!D31-Datos!BF31)/Datos!BF31," - ")</f>
        <v>-0.21865228267667286</v>
      </c>
      <c r="K31" s="1097">
        <f>IF(ISNUMBER((Tasas!E31-Datos!BG31)/Datos!BG31),(Tasas!E31-Datos!BG31)/Datos!BG31," - ")</f>
        <v>0.18970296244871565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ypIHoVDkh1wIdlkRAlA+XMQX8KzEmkDOZ+EXpTXlDfBKP3xmJ96hUqjRh7wzze/GVsp3p2L3ylELaXhqvylig==" saltValue="uDOtwM7JA1fVyd9VIiy6f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GIRONA</v>
      </c>
    </row>
    <row r="4" spans="1:7" ht="11.25" customHeight="1" thickBot="1">
      <c r="B4" s="439" t="str">
        <f>Criterios!A11 &amp;"  "&amp;Criterios!B11</f>
        <v>Resumenes por Partidos Judiciales  SANTA COLOMA DE FARNERS</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v>
      </c>
      <c r="C10" s="498">
        <f>IF(ISNUMBER(NºAsuntos!I10/NºAsuntos!G10),NºAsuntos!I10/NºAsuntos!G10," - ")</f>
        <v>1.9444444444444444</v>
      </c>
      <c r="D10" s="499">
        <f>IF(ISNUMBER('Resol  Asuntos'!D10/NºAsuntos!G10),'Resol  Asuntos'!D10/NºAsuntos!G10," - ")</f>
        <v>0.3888888888888889</v>
      </c>
      <c r="E10" s="500">
        <f>IF(ISNUMBER((NºAsuntos!C10+NºAsuntos!E10)/NºAsuntos!G10),(NºAsuntos!C10+NºAsuntos!E10)/NºAsuntos!G10," - ")</f>
        <v>2.9444444444444446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0.78195488721804507</v>
      </c>
      <c r="C12" s="498">
        <f>IF(ISNUMBER(NºAsuntos!I12/NºAsuntos!G12),NºAsuntos!I12/NºAsuntos!G12," - ")</f>
        <v>4.131009615384615</v>
      </c>
      <c r="D12" s="499">
        <f>IF(ISNUMBER('Resol  Asuntos'!D12/NºAsuntos!G12),'Resol  Asuntos'!D12/NºAsuntos!G12," - ")</f>
        <v>0.19711538461538461</v>
      </c>
      <c r="E12" s="500">
        <f>IF(ISNUMBER((NºAsuntos!C12+NºAsuntos!E12)/NºAsuntos!G12),(NºAsuntos!C12+NºAsuntos!E12)/NºAsuntos!G12," - ")</f>
        <v>5.131009615384615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0.78776645041705284</v>
      </c>
      <c r="C14" s="1156">
        <f>IF(ISNUMBER(NºAsuntos!I14/NºAsuntos!G14),NºAsuntos!I14/NºAsuntos!G14," - ")</f>
        <v>4.0847058823529414</v>
      </c>
      <c r="D14" s="1157">
        <f>IF(ISNUMBER('Resol  Asuntos'!D14/NºAsuntos!G14),'Resol  Asuntos'!D14/NºAsuntos!G14," - ")</f>
        <v>0.20117647058823529</v>
      </c>
      <c r="E14" s="1158">
        <f>IF(ISNUMBER((NºAsuntos!C14+NºAsuntos!E14)/NºAsuntos!G14),(NºAsuntos!C14+NºAsuntos!E14)/NºAsuntos!G14," - ")</f>
        <v>5.0847058823529414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0.89792231255645893</v>
      </c>
      <c r="C17" s="498">
        <f>IF(ISNUMBER(NºAsuntos!I17/NºAsuntos!G17),NºAsuntos!I17/NºAsuntos!G17," - ")</f>
        <v>1.9356136820925554</v>
      </c>
      <c r="D17" s="499">
        <f>IF(ISNUMBER('Resol  Asuntos'!D17/NºAsuntos!G17),'Resol  Asuntos'!D17/NºAsuntos!G17," - ")</f>
        <v>0.11468812877263582</v>
      </c>
      <c r="E17" s="500">
        <f>IF(ISNUMBER((NºAsuntos!C17+NºAsuntos!E17)/NºAsuntos!G17),(NºAsuntos!C17+NºAsuntos!E17)/NºAsuntos!G17," - ")</f>
        <v>2.9356136820925554</v>
      </c>
      <c r="G17" s="523"/>
    </row>
    <row r="18" spans="1:7">
      <c r="A18" s="450" t="str">
        <f>Datos!A18</f>
        <v>Jdos. Violencia contra la mujer</v>
      </c>
      <c r="B18" s="497">
        <f>IF(ISNUMBER(NºAsuntos!G18/NºAsuntos!E18),NºAsuntos!G18/NºAsuntos!E18," - ")</f>
        <v>0.96875</v>
      </c>
      <c r="C18" s="498">
        <f>IF(ISNUMBER(NºAsuntos!I18/NºAsuntos!G18),NºAsuntos!I18/NºAsuntos!G18," - ")</f>
        <v>0.67741935483870963</v>
      </c>
      <c r="D18" s="499">
        <f>IF(ISNUMBER('Resol  Asuntos'!D18/NºAsuntos!G18),'Resol  Asuntos'!D18/NºAsuntos!G18," - ")</f>
        <v>4.0322580645161289E-2</v>
      </c>
      <c r="E18" s="500">
        <f>IF(ISNUMBER((NºAsuntos!C18+NºAsuntos!E18)/NºAsuntos!G18),(NºAsuntos!C18+NºAsuntos!E18)/NºAsuntos!G18," - ")</f>
        <v>1.6774193548387097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0.90526315789473688</v>
      </c>
      <c r="C23" s="1156">
        <f>IF(ISNUMBER(NºAsuntos!I23/NºAsuntos!G23),NºAsuntos!I23/NºAsuntos!G23," - ")</f>
        <v>1.7960644007155635</v>
      </c>
      <c r="D23" s="1159">
        <f>IF(ISNUMBER('Resol  Asuntos'!D23/NºAsuntos!G23),'Resol  Asuntos'!D23/NºAsuntos!G23," - ")</f>
        <v>0.10644007155635063</v>
      </c>
      <c r="E23" s="1158">
        <f>IF(ISNUMBER((NºAsuntos!C23+NºAsuntos!E23)/NºAsuntos!G23),(NºAsuntos!C23+NºAsuntos!E23)/NºAsuntos!G23," - ")</f>
        <v>2.7960644007155637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0.85047536732929996</v>
      </c>
      <c r="C31" s="1099">
        <f>IF(ISNUMBER(NºAsuntos!I31/NºAsuntos!G31),NºAsuntos!I31/NºAsuntos!G31," - ")</f>
        <v>2.7845528455284554</v>
      </c>
      <c r="D31" s="1100">
        <f>IF(ISNUMBER('Resol  Asuntos'!D31/NºAsuntos!G31),'Resol  Asuntos'!D31/NºAsuntos!G31," - ")</f>
        <v>0.14735772357723578</v>
      </c>
      <c r="E31" s="1101">
        <f>IF(ISNUMBER((NºAsuntos!C31+NºAsuntos!E31)/NºAsuntos!G31),(NºAsuntos!C31+NºAsuntos!E31)/NºAsuntos!G31," - ")</f>
        <v>3.7845528455284554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6zbl6MlndF/ZaoS5DYQnJKIckV2ard9wbi0wZz55einRwMyYuoYcejfuMzKmMO7rXZ9bQsYSvNI3Pp7GJuaNiQ==" saltValue="ZAtZEpnNVJpytwoLoctFS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GIRONA</v>
      </c>
      <c r="N2" s="368" t="str">
        <f>Criterios!A11 &amp;"  "&amp;Criterios!B11</f>
        <v>Resumenes por Partidos Judiciales  SANTA COLOMA DE FARNERS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38</v>
      </c>
      <c r="G10" s="373">
        <f>IF(ISNUMBER(Datos!I10),Datos!I10," - ")</f>
        <v>38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18</v>
      </c>
      <c r="X10" s="240">
        <f>IF(ISNUMBER(Datos!Q10),Datos!Q10," - ")</f>
        <v>2</v>
      </c>
      <c r="Y10" s="374">
        <f t="shared" ref="Y10:Y13" si="0">SUM(W10:X10)</f>
        <v>20</v>
      </c>
      <c r="Z10" s="375" t="str">
        <f>IF(ISNUMBER(Datos!CC10),Datos!CC10," - ")</f>
        <v xml:space="preserve"> - </v>
      </c>
      <c r="AA10" s="372">
        <f>IF(ISNUMBER(Datos!L10),Datos!L10,"-")</f>
        <v>35</v>
      </c>
      <c r="AB10" s="374">
        <f>IF(ISNUMBER(Datos!R10),Datos!R10," - ")</f>
        <v>40</v>
      </c>
      <c r="AC10" s="374">
        <f t="shared" ref="AC10:AC13" si="1">IF(ISNUMBER(AA10+AB10),AA10+AB10," - ")</f>
        <v>75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v>
      </c>
      <c r="AJ10" s="245" t="str">
        <f>IF(ISNUMBER(Datos!BW10),Datos!BW10," - ")</f>
        <v xml:space="preserve"> - </v>
      </c>
      <c r="AK10" s="246" t="str">
        <f>IF(ISNUMBER(Datos!BX10),Datos!BX10," - ")</f>
        <v xml:space="preserve"> - </v>
      </c>
      <c r="AL10" s="266">
        <f>IF(ISNUMBER(NºAsuntos!G10/NºAsuntos!E10),NºAsuntos!G10/NºAsuntos!E10," - ")</f>
        <v>1.2</v>
      </c>
      <c r="AM10" s="284">
        <f>IF(ISNUMBER(((NºAsuntos!I10/NºAsuntos!G10)*11)/factor_trimestre),((NºAsuntos!I10/NºAsuntos!G10)*11)/factor_trimestre," - ")</f>
        <v>3.8888888888888888</v>
      </c>
      <c r="AN10" s="267">
        <f>IF(ISNUMBER('Resol  Asuntos'!D10/NºAsuntos!G10),'Resol  Asuntos'!D10/NºAsuntos!G10," - ")</f>
        <v>0.3888888888888889</v>
      </c>
      <c r="AO10" s="268">
        <f>IF(ISNUMBER((NºAsuntos!C10+NºAsuntos!E10)/NºAsuntos!G10),(NºAsuntos!C10+NºAsuntos!E10)/NºAsuntos!G10," - ")</f>
        <v>2.9444444444444446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228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217</v>
      </c>
      <c r="Y12" s="374">
        <f t="shared" si="0"/>
        <v>217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4741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164</v>
      </c>
      <c r="AJ12" s="243" t="str">
        <f>IF(ISNUMBER(Datos!BW12),Datos!BW12," - ")</f>
        <v xml:space="preserve"> - </v>
      </c>
      <c r="AK12" s="242" t="str">
        <f>IF(ISNUMBER(Datos!BX12),Datos!BX12," - ")</f>
        <v xml:space="preserve"> - </v>
      </c>
      <c r="AL12" s="266">
        <f>IF(ISNUMBER(NºAsuntos!G12/NºAsuntos!E12),NºAsuntos!G12/NºAsuntos!E12," - ")</f>
        <v>0.78195488721804507</v>
      </c>
      <c r="AM12" s="284">
        <f>IF(ISNUMBER(((NºAsuntos!I12/NºAsuntos!G12)*11)/factor_trimestre),((NºAsuntos!I12/NºAsuntos!G12)*11)/factor_trimestre," - ")</f>
        <v>8.2620192307692299</v>
      </c>
      <c r="AN12" s="267">
        <f>IF(ISNUMBER('Resol  Asuntos'!D12/NºAsuntos!G12),'Resol  Asuntos'!D12/NºAsuntos!G12," - ")</f>
        <v>0.19711538461538461</v>
      </c>
      <c r="AO12" s="268">
        <f>IF(ISNUMBER((NºAsuntos!C12+NºAsuntos!E12)/NºAsuntos!G12),(NºAsuntos!C12+NºAsuntos!E12)/NºAsuntos!G12," - ")</f>
        <v>5.131009615384615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38</v>
      </c>
      <c r="G14" s="1163">
        <f t="shared" si="5"/>
        <v>38</v>
      </c>
      <c r="H14" s="1162">
        <f t="shared" si="5"/>
        <v>0</v>
      </c>
      <c r="I14" s="1164">
        <f t="shared" si="5"/>
        <v>0</v>
      </c>
      <c r="J14" s="1164">
        <f t="shared" si="5"/>
        <v>0</v>
      </c>
      <c r="K14" s="1164">
        <f t="shared" si="5"/>
        <v>0</v>
      </c>
      <c r="L14" s="1164">
        <f t="shared" si="5"/>
        <v>229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18</v>
      </c>
      <c r="X14" s="1164">
        <f t="shared" si="6"/>
        <v>219</v>
      </c>
      <c r="Y14" s="1165">
        <f t="shared" si="6"/>
        <v>237</v>
      </c>
      <c r="Z14" s="1165">
        <f t="shared" si="6"/>
        <v>0</v>
      </c>
      <c r="AA14" s="1165">
        <f t="shared" si="6"/>
        <v>35</v>
      </c>
      <c r="AB14" s="1165">
        <f t="shared" si="6"/>
        <v>4781</v>
      </c>
      <c r="AC14" s="1165">
        <f t="shared" si="6"/>
        <v>75</v>
      </c>
      <c r="AD14" s="1165">
        <f t="shared" si="6"/>
        <v>0</v>
      </c>
      <c r="AE14" s="1169">
        <f t="shared" si="6"/>
        <v>0</v>
      </c>
      <c r="AF14" s="1162">
        <f t="shared" si="6"/>
        <v>0</v>
      </c>
      <c r="AG14" s="1170">
        <f t="shared" si="6"/>
        <v>0</v>
      </c>
      <c r="AH14" s="1167">
        <f t="shared" si="6"/>
        <v>0</v>
      </c>
      <c r="AI14" s="1162">
        <f t="shared" si="6"/>
        <v>171</v>
      </c>
      <c r="AJ14" s="1164">
        <f t="shared" si="6"/>
        <v>0</v>
      </c>
      <c r="AK14" s="1167">
        <f>SUBTOTAL(9,AK9:AK13)</f>
        <v>0</v>
      </c>
      <c r="AL14" s="1171">
        <f>IF(ISNUMBER(NºAsuntos!G14/NºAsuntos!E14),NºAsuntos!G14/NºAsuntos!E14," - ")</f>
        <v>0.78776645041705284</v>
      </c>
      <c r="AM14" s="1171">
        <f>IF(ISNUMBER(((NºAsuntos!I14/NºAsuntos!G14)*11)/factor_trimestre),((NºAsuntos!I14/NºAsuntos!G14)*11)/factor_trimestre," - ")</f>
        <v>8.1694117647058828</v>
      </c>
      <c r="AN14" s="1172">
        <f>IF(ISNUMBER('Resol  Asuntos'!D14/NºAsuntos!G14),'Resol  Asuntos'!D14/NºAsuntos!G14," - ")</f>
        <v>0.20117647058823529</v>
      </c>
      <c r="AO14" s="1173">
        <f>IF(ISNUMBER((NºAsuntos!C14+NºAsuntos!E14)/NºAsuntos!G14),(NºAsuntos!C14+NºAsuntos!E14)/NºAsuntos!G14," - ")</f>
        <v>5.0847058823529414</v>
      </c>
      <c r="AP14" s="1174" t="str">
        <f t="shared" si="2"/>
        <v xml:space="preserve"> - </v>
      </c>
      <c r="AQ14" s="1174">
        <f>IF(ISNUMBER((H14-W14+K14)/(F14)),(H14-W14+K14)/(F14)," - ")</f>
        <v>-0.47368421052631576</v>
      </c>
      <c r="AR14" s="1175">
        <f>IF(ISNUMBER((Datos!P14-Datos!Q14)/(Datos!R14-Datos!P14+Datos!Q14)),(Datos!P14-Datos!Q14)/(Datos!R14-Datos!P14+Datos!Q14)," - ")</f>
        <v>2.0959966464053656E-3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1811</v>
      </c>
      <c r="G17" s="373">
        <f>IF(ISNUMBER(IF(D_I="SI",Datos!I17,Datos!I17+Datos!AC17)),IF(D_I="SI",Datos!I17,Datos!I17+Datos!AC17)," - ")</f>
        <v>1811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994</v>
      </c>
      <c r="X17" s="240">
        <f>IF(ISNUMBER(Datos!Q17),Datos!Q17," - ")</f>
        <v>9</v>
      </c>
      <c r="Y17" s="374">
        <f t="shared" ref="Y17:Y22" si="9">SUM(W17:X17)</f>
        <v>1003</v>
      </c>
      <c r="Z17" s="375" t="str">
        <f>IF(ISNUMBER(Datos!CC17),Datos!CC17," - ")</f>
        <v xml:space="preserve"> - </v>
      </c>
      <c r="AA17" s="372">
        <f>IF(ISNUMBER(IF(D_I="SI",Datos!L17,Datos!L17+Datos!AF17)),IF(D_I="SI",Datos!L17,Datos!L17+Datos!AF17)," - ")</f>
        <v>1924</v>
      </c>
      <c r="AB17" s="374">
        <f>IF(ISNUMBER(Datos!R17),Datos!R17," - ")</f>
        <v>150</v>
      </c>
      <c r="AC17" s="374">
        <f t="shared" si="8"/>
        <v>2074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114</v>
      </c>
      <c r="AJ17" s="245" t="str">
        <f>IF(ISNUMBER(Datos!BW17),Datos!BW17," - ")</f>
        <v xml:space="preserve"> - </v>
      </c>
      <c r="AK17" s="246" t="str">
        <f>IF(ISNUMBER(Datos!BX17),Datos!BX17," - ")</f>
        <v xml:space="preserve"> - </v>
      </c>
      <c r="AL17" s="266">
        <f>IF(ISNUMBER(NºAsuntos!G17/NºAsuntos!E17),NºAsuntos!G17/NºAsuntos!E17," - ")</f>
        <v>0.89792231255645893</v>
      </c>
      <c r="AM17" s="284">
        <f>IF(ISNUMBER(((NºAsuntos!I17/NºAsuntos!G17)*11)/factor_trimestre),((NºAsuntos!I17/NºAsuntos!G17)*11)/factor_trimestre," - ")</f>
        <v>3.8712273641851103</v>
      </c>
      <c r="AN17" s="267">
        <f>IF(ISNUMBER('Resol  Asuntos'!D17/NºAsuntos!G17),'Resol  Asuntos'!D17/NºAsuntos!G17," - ")</f>
        <v>0.11468812877263582</v>
      </c>
      <c r="AO17" s="268">
        <f>IF(ISNUMBER((NºAsuntos!C17+NºAsuntos!E17)/NºAsuntos!G17),(NºAsuntos!C17+NºAsuntos!E17)/NºAsuntos!G17," - ")</f>
        <v>2.9356136820925554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124</v>
      </c>
      <c r="X18" s="240">
        <f>IF(ISNUMBER(Datos!Q18),Datos!Q18," - ")</f>
        <v>0</v>
      </c>
      <c r="Y18" s="374">
        <f t="shared" si="9"/>
        <v>124</v>
      </c>
      <c r="Z18" s="375" t="str">
        <f>IF(ISNUMBER(Datos!CC18),Datos!CC18," - ")</f>
        <v xml:space="preserve"> - </v>
      </c>
      <c r="AA18" s="372">
        <f>IF(ISNUMBER(Datos!L18),Datos!L18,"-")</f>
        <v>84</v>
      </c>
      <c r="AB18" s="374">
        <f>IF(ISNUMBER(Datos!R18),Datos!R18," - ")</f>
        <v>0</v>
      </c>
      <c r="AC18" s="374">
        <f t="shared" si="8"/>
        <v>84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0.96875</v>
      </c>
      <c r="AM18" s="284">
        <f>IF(ISNUMBER(((NºAsuntos!I18/NºAsuntos!G18)*11)/factor_trimestre),((NºAsuntos!I18/NºAsuntos!G18)*11)/factor_trimestre," - ")</f>
        <v>1.3548387096774193</v>
      </c>
      <c r="AN18" s="267">
        <f>IF(ISNUMBER('Resol  Asuntos'!D18/NºAsuntos!G18),'Resol  Asuntos'!D18/NºAsuntos!G18," - ")</f>
        <v>4.0322580645161289E-2</v>
      </c>
      <c r="AO18" s="268">
        <f>IF(ISNUMBER((NºAsuntos!C18+NºAsuntos!E18)/NºAsuntos!G18),(NºAsuntos!C18+NºAsuntos!E18)/NºAsuntos!G18," - ")</f>
        <v>1.6774193548387097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1811</v>
      </c>
      <c r="G23" s="1163">
        <f>SUBTOTAL(9,G16:G22)</f>
        <v>1891</v>
      </c>
      <c r="H23" s="1162">
        <f t="shared" ref="H23:O23" si="13">SUBTOTAL(9,H15:H22)</f>
        <v>0</v>
      </c>
      <c r="I23" s="1164">
        <f t="shared" si="13"/>
        <v>0</v>
      </c>
      <c r="J23" s="1164">
        <f t="shared" si="13"/>
        <v>0</v>
      </c>
      <c r="K23" s="1164">
        <f t="shared" si="13"/>
        <v>0</v>
      </c>
      <c r="L23" s="1164">
        <f t="shared" si="13"/>
        <v>13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1118</v>
      </c>
      <c r="X23" s="1164">
        <f t="shared" si="14"/>
        <v>9</v>
      </c>
      <c r="Y23" s="1165">
        <f t="shared" si="14"/>
        <v>1127</v>
      </c>
      <c r="Z23" s="1165">
        <f t="shared" si="14"/>
        <v>0</v>
      </c>
      <c r="AA23" s="1165">
        <f t="shared" si="14"/>
        <v>2008</v>
      </c>
      <c r="AB23" s="1165">
        <f t="shared" si="14"/>
        <v>150</v>
      </c>
      <c r="AC23" s="1165">
        <f t="shared" si="14"/>
        <v>2158</v>
      </c>
      <c r="AD23" s="1165">
        <f t="shared" si="14"/>
        <v>0</v>
      </c>
      <c r="AE23" s="1169">
        <f t="shared" si="14"/>
        <v>0</v>
      </c>
      <c r="AF23" s="1162">
        <f t="shared" si="14"/>
        <v>0</v>
      </c>
      <c r="AG23" s="1170">
        <f t="shared" si="14"/>
        <v>0</v>
      </c>
      <c r="AH23" s="1167">
        <f t="shared" si="14"/>
        <v>0</v>
      </c>
      <c r="AI23" s="1162">
        <f t="shared" si="14"/>
        <v>119</v>
      </c>
      <c r="AJ23" s="1164">
        <f t="shared" si="14"/>
        <v>0</v>
      </c>
      <c r="AK23" s="1167">
        <f t="shared" si="14"/>
        <v>0</v>
      </c>
      <c r="AL23" s="1171">
        <f>IF(ISNUMBER(NºAsuntos!G23/NºAsuntos!E23),NºAsuntos!G23/NºAsuntos!E23," - ")</f>
        <v>0.90526315789473688</v>
      </c>
      <c r="AM23" s="1171">
        <f>IF(ISNUMBER(((NºAsuntos!I23/NºAsuntos!G23)*11)/factor_trimestre),((NºAsuntos!I23/NºAsuntos!G23)*11)/factor_trimestre," - ")</f>
        <v>3.592128801431127</v>
      </c>
      <c r="AN23" s="1172">
        <f>IF(ISNUMBER('Resol  Asuntos'!D23/NºAsuntos!G23),'Resol  Asuntos'!D23/NºAsuntos!G23," - ")</f>
        <v>0.10644007155635063</v>
      </c>
      <c r="AO23" s="1173">
        <f>IF(ISNUMBER((NºAsuntos!C23+NºAsuntos!E23)/NºAsuntos!G23),(NºAsuntos!C23+NºAsuntos!E23)/NºAsuntos!G23," - ")</f>
        <v>2.7960644007155637</v>
      </c>
      <c r="AP23" s="1174" t="str">
        <f t="shared" si="2"/>
        <v xml:space="preserve"> - </v>
      </c>
      <c r="AQ23" s="1174">
        <f>IF(ISNUMBER((H23-W23+K23)/(F23)),(H23-W23+K23)/(F23)," - ")</f>
        <v>-0.61733848702374383</v>
      </c>
      <c r="AR23" s="1175">
        <f>IF(ISNUMBER((Datos!P23-Datos!Q23)/(Datos!R23-Datos!P23+Datos!Q23)),(Datos!P23-Datos!Q23)/(Datos!R23-Datos!P23+Datos!Q23)," - ")</f>
        <v>2.7397260273972601E-2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1849</v>
      </c>
      <c r="G31" s="1118">
        <f t="shared" si="20"/>
        <v>1929</v>
      </c>
      <c r="H31" s="1117">
        <f t="shared" si="20"/>
        <v>0</v>
      </c>
      <c r="I31" s="1119">
        <f t="shared" si="20"/>
        <v>0</v>
      </c>
      <c r="J31" s="1119">
        <f t="shared" si="20"/>
        <v>0</v>
      </c>
      <c r="K31" s="1180">
        <f t="shared" si="20"/>
        <v>0</v>
      </c>
      <c r="L31" s="1119">
        <f t="shared" si="20"/>
        <v>242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1136</v>
      </c>
      <c r="X31" s="1118">
        <f t="shared" si="21"/>
        <v>228</v>
      </c>
      <c r="Y31" s="1125">
        <f t="shared" si="21"/>
        <v>1364</v>
      </c>
      <c r="Z31" s="1125">
        <f t="shared" si="21"/>
        <v>0</v>
      </c>
      <c r="AA31" s="1125">
        <f t="shared" si="21"/>
        <v>2043</v>
      </c>
      <c r="AB31" s="1125">
        <f t="shared" si="21"/>
        <v>4931</v>
      </c>
      <c r="AC31" s="1125">
        <f t="shared" si="21"/>
        <v>2233</v>
      </c>
      <c r="AD31" s="1125">
        <f t="shared" si="21"/>
        <v>0</v>
      </c>
      <c r="AE31" s="1127">
        <f t="shared" si="21"/>
        <v>0</v>
      </c>
      <c r="AF31" s="1128">
        <f t="shared" si="21"/>
        <v>0</v>
      </c>
      <c r="AG31" s="1129">
        <f t="shared" si="21"/>
        <v>0</v>
      </c>
      <c r="AH31" s="1127">
        <f t="shared" si="21"/>
        <v>0</v>
      </c>
      <c r="AI31" s="1117">
        <f t="shared" si="21"/>
        <v>290</v>
      </c>
      <c r="AJ31" s="1117">
        <f t="shared" si="21"/>
        <v>0</v>
      </c>
      <c r="AK31" s="1127">
        <f t="shared" si="21"/>
        <v>0</v>
      </c>
      <c r="AL31" s="1183">
        <f>IF(ISNUMBER(NºAsuntos!G31/NºAsuntos!E31),NºAsuntos!G31/NºAsuntos!E31," - ")</f>
        <v>0.85047536732929996</v>
      </c>
      <c r="AM31" s="1184">
        <f>IF(ISNUMBER(((NºAsuntos!I31/NºAsuntos!G31)*11)/factor_trimestre),((NºAsuntos!I31/NºAsuntos!G31)*11)/factor_trimestre," - ")</f>
        <v>5.5691056910569108</v>
      </c>
      <c r="AN31" s="1184">
        <f>IF(ISNUMBER('Resol  Asuntos'!D31/NºAsuntos!G31),'Resol  Asuntos'!D31/NºAsuntos!G31," - ")</f>
        <v>0.14735772357723578</v>
      </c>
      <c r="AO31" s="1185">
        <f>IF(ISNUMBER((NºAsuntos!C31+NºAsuntos!E31)/NºAsuntos!G31),(NºAsuntos!C31+NºAsuntos!E31)/NºAsuntos!G31," - ")</f>
        <v>3.7845528455284554</v>
      </c>
      <c r="AP31" s="1186" t="str">
        <f t="shared" si="2"/>
        <v xml:space="preserve"> - </v>
      </c>
      <c r="AQ31" s="1187">
        <f>IF(OR(ISNUMBER(FIND("01",Criterios!A8,1)),ISNUMBER(FIND("02",Criterios!A8,1)),ISNUMBER(FIND("03",Criterios!A8,1)),ISNUMBER(FIND("04",Criterios!A8,1))),(I31-W31+K31)/(F31-K31),(H31-W31+K31)/(F31-K31))</f>
        <v>-0.61438615467820445</v>
      </c>
      <c r="AR31" s="1188">
        <f>IF(ISNUMBER((Datos!P31-Datos!Q31)/(Datos!R31-Datos!P31+Datos!Q31)),(Datos!P31-Datos!Q31)/(Datos!R31-Datos!P31+Datos!Q31)," - ")</f>
        <v>2.847264592231035E-3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551.14285714285711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925.54085089026012</v>
      </c>
      <c r="G33" s="277">
        <f>IF(ISNUMBER(STDEV(G8:G30)),STDEV(G8:G30),"-")</f>
        <v>888.68637673280227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502.7520452943171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76.828194229536777</v>
      </c>
      <c r="AJ33" s="276">
        <f t="shared" si="25"/>
        <v>0</v>
      </c>
      <c r="AK33" s="278">
        <f t="shared" si="25"/>
        <v>0</v>
      </c>
      <c r="AL33" s="273">
        <f t="shared" si="25"/>
        <v>0.15358721075681908</v>
      </c>
      <c r="AM33" s="274">
        <f t="shared" si="25"/>
        <v>2.7691242406857812</v>
      </c>
      <c r="AN33" s="274">
        <f t="shared" si="25"/>
        <v>0.12115975850246895</v>
      </c>
      <c r="AO33" s="275">
        <f t="shared" si="25"/>
        <v>1.3845621203428911</v>
      </c>
      <c r="AP33" s="317" t="str">
        <f t="shared" si="25"/>
        <v>-</v>
      </c>
      <c r="AQ33" s="318">
        <f t="shared" si="25"/>
        <v>0.10157891305777889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w7W04uNiBLdA6pMRcpjTRDTodmsYznr5f0/XTCP6MUG6z6ZNzw3dO9/ghoGVeq64osrtVOfKVuCSNwln6ZuytA==" saltValue="LkKzWR7QHQj8hQzaRxA16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GIRONA</v>
      </c>
      <c r="E3" s="287"/>
    </row>
    <row r="4" spans="2:20" ht="17.25" customHeight="1" thickBot="1">
      <c r="D4" s="286" t="str">
        <f>Criterios!A11 &amp;"  "&amp;Criterios!B11</f>
        <v>Resumenes por Partidos Judiciales  SANTA COLOMA DE FARNERS</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-0.20833333333333334</v>
      </c>
      <c r="E10" s="393">
        <f>IF(ISNUMBER((Datos!J10-Datos!T10)/Datos!T10),(Datos!J10-Datos!T10)/Datos!T10," - ")</f>
        <v>-6.25E-2</v>
      </c>
      <c r="F10" s="393">
        <f>IF(ISNUMBER((Datos!K10-Datos!U10)/Datos!U10),(Datos!K10-Datos!U10)/Datos!U10," - ")</f>
        <v>0.8</v>
      </c>
      <c r="G10" s="394">
        <f>IF(ISNUMBER((Datos!L10-Datos!V10)/Datos!V10),(Datos!L10-Datos!V10)/Datos!V10," - ")</f>
        <v>-0.35185185185185186</v>
      </c>
      <c r="H10" s="244">
        <f>IF(ISNUMBER((Datos!M10-Datos!W10)/Datos!W10),(Datos!M10-Datos!W10)/Datos!W10," - ")</f>
        <v>0.75</v>
      </c>
      <c r="I10" s="395">
        <f>IF(ISNUMBER((Tasas!C10-Datos!BE10)/Datos!BE10),(Tasas!C10-Datos!BE10)/Datos!BE10," - ")</f>
        <v>-0.63991769547325106</v>
      </c>
      <c r="J10" s="394">
        <f>IF(ISNUMBER((Tasas!D10-Datos!BF10)/Datos!BF10),(Tasas!D10-Datos!BF10)/Datos!BF10," - ")</f>
        <v>-2.7777777777777818E-2</v>
      </c>
      <c r="K10" s="396">
        <f>IF(ISNUMBER((Tasas!E10-Datos!BG10)/Datos!BG10),(Tasas!E10-Datos!BG10)/Datos!BG10," - ")</f>
        <v>-0.53993055555555558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-2.9585798816568046E-2</v>
      </c>
      <c r="I12" s="395">
        <f>IF(ISNUMBER((Tasas!C12-Datos!BE12)/Datos!BE12),(Tasas!C12-Datos!BE12)/Datos!BE12," - ")</f>
        <v>0.23072411065372314</v>
      </c>
      <c r="J12" s="394">
        <f>IF(ISNUMBER((Tasas!D12-Datos!BF12)/Datos!BF12),(Tasas!D12-Datos!BF12)/Datos!BF12," - ")</f>
        <v>-0.42107056329497278</v>
      </c>
      <c r="K12" s="396">
        <f>IF(ISNUMBER((Tasas!E12-Datos!BG12)/Datos!BG12),(Tasas!E12-Datos!BG12)/Datos!BG12," - ")</f>
        <v>0.1553676948617333</v>
      </c>
      <c r="M12" t="e">
        <f>IF(Monitorios="SI",Datos!CE12,0)</f>
        <v>#REF!</v>
      </c>
      <c r="N12" t="e">
        <f>IF(Monitorios="SI",Datos!CF12,0)</f>
        <v>#REF!</v>
      </c>
      <c r="O12" t="e">
        <f>IF(Monitorios="SI",Datos!CG12,0)</f>
        <v>#REF!</v>
      </c>
      <c r="P12" t="e">
        <f>IF(Monitorios="SI",Datos!CH12,0)</f>
        <v>#REF!</v>
      </c>
      <c r="Q12">
        <f>IF(J_V="SI",0,Datos!AG12)</f>
        <v>28</v>
      </c>
      <c r="R12">
        <f>IF(J_V="SI",0,Datos!AH12)</f>
        <v>34</v>
      </c>
      <c r="S12">
        <f>IF(J_V="SI",0,Datos!AI12)</f>
        <v>22</v>
      </c>
      <c r="T12">
        <f>IF(J_V="SI",0,Datos!AJ12)</f>
        <v>40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-1.1560693641618497E-2</v>
      </c>
      <c r="I14" s="402">
        <f>IF(ISNUMBER((Tasas!C14-Datos!BE14)/Datos!BE14),(Tasas!C14-Datos!BE14)/Datos!BE14," - ")</f>
        <v>0.20720783700501313</v>
      </c>
      <c r="J14" s="400">
        <f>IF(ISNUMBER((Tasas!D14-Datos!BF14)/Datos!BF14),(Tasas!D14-Datos!BF14)/Datos!BF14," - ")</f>
        <v>-0.4105061559507524</v>
      </c>
      <c r="K14" s="403">
        <f>IF(ISNUMBER((Tasas!E14-Datos!BG14)/Datos!BG14),(Tasas!E14-Datos!BG14)/Datos!BG14," - ")</f>
        <v>0.13829956975387145</v>
      </c>
      <c r="M14" t="e">
        <f>IF(Monitorios="SI",Datos!CE14,0)</f>
        <v>#REF!</v>
      </c>
      <c r="N14" t="e">
        <f>IF(Monitorios="SI",Datos!CF14,0)</f>
        <v>#REF!</v>
      </c>
      <c r="O14" t="e">
        <f>IF(Monitorios="SI",Datos!CG14,0)</f>
        <v>#REF!</v>
      </c>
      <c r="P14" t="e">
        <f>IF(Monitorios="SI",Datos!CH14,0)</f>
        <v>#REF!</v>
      </c>
      <c r="Q14">
        <f>IF(J_V="SI",0,Datos!AG14)</f>
        <v>28</v>
      </c>
      <c r="R14">
        <f>IF(J_V="SI",0,Datos!AH14)</f>
        <v>34</v>
      </c>
      <c r="S14">
        <f>IF(J_V="SI",0,Datos!AI14)</f>
        <v>22</v>
      </c>
      <c r="T14">
        <f>IF(J_V="SI",0,Datos!AJ14)</f>
        <v>40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0.2489655172413793</v>
      </c>
      <c r="E17" s="393">
        <f>IF(ISNUMBER(
   IF(D_I="SI",(Datos!J17-Datos!T17)/Datos!T17,(Datos!J17+Datos!AD17-(Datos!T17+Datos!AL17))/(Datos!T17+Datos!AL17))
     ),IF(D_I="SI",(Datos!J17-Datos!T17)/Datos!T17,(Datos!J17+Datos!AD17-(Datos!T17+Datos!AL17))/(Datos!T17+Datos!AL17))," - ")</f>
        <v>-0.12073073868149325</v>
      </c>
      <c r="F17" s="393">
        <f>IF(ISNUMBER(
   IF(D_I="SI",(Datos!K17-Datos!U17)/Datos!U17,(Datos!K17+Datos!AE17-(Datos!U17+Datos!AM17))/(Datos!U17+Datos!AM17))
     ),IF(D_I="SI",(Datos!K17-Datos!U17)/Datos!U17,(Datos!K17+Datos!AE17-(Datos!U17+Datos!AM17))/(Datos!U17+Datos!AM17))," - ")</f>
        <v>-9.1407678244972576E-2</v>
      </c>
      <c r="G17" s="394">
        <f>IF(ISNUMBER(
   IF(D_I="SI",(Datos!L17-Datos!V17)/Datos!V17,(Datos!L17+Datos!AF17-(Datos!V17+Datos!AN17))/(Datos!V17+Datos!AN17))
     ),IF(D_I="SI",(Datos!L17-Datos!V17)/Datos!V17,(Datos!L17+Datos!AF17-(Datos!V17+Datos!AN17))/(Datos!V17+Datos!AN17))," - ")</f>
        <v>0.25833878351863965</v>
      </c>
      <c r="H17" s="244">
        <f>IF(ISNUMBER((Datos!M17-Datos!W17)/Datos!W17),(Datos!M17-Datos!W17)/Datos!W17," - ")</f>
        <v>-1.7241379310344827E-2</v>
      </c>
      <c r="I17" s="395">
        <f>IF(ISNUMBER((Tasas!C17-Datos!BE17)/Datos!BE17),(Tasas!C17-Datos!BE17)/Datos!BE17," - ")</f>
        <v>0.38493222250441828</v>
      </c>
      <c r="J17" s="394">
        <f>IF(ISNUMBER((Tasas!D17-Datos!BF17)/Datos!BF17),(Tasas!D17-Datos!BF17)/Datos!BF17," - ")</f>
        <v>8.1627697217789577E-2</v>
      </c>
      <c r="K17" s="396">
        <f>IF(ISNUMBER((Tasas!E17-Datos!BG17)/Datos!BG17),(Tasas!E17-Datos!BG17)/Datos!BG17," - ")</f>
        <v>0.18551545522674626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-0.45205479452054792</v>
      </c>
      <c r="E18" s="393">
        <f>IF(ISNUMBER(
   IF(D_I="SI",(Datos!J18-Datos!T18)/Datos!T18,(Datos!J18+Datos!AD18-(Datos!T18+Datos!AL18))/(Datos!T18+Datos!AL18))
     ),IF(D_I="SI",(Datos!J18-Datos!T18)/Datos!T18,(Datos!J18+Datos!AD18-(Datos!T18+Datos!AL18))/(Datos!T18+Datos!AL18))," - ")</f>
        <v>7.874015748031496E-3</v>
      </c>
      <c r="F18" s="393">
        <f>IF(ISNUMBER(
   IF(D_I="SI",(Datos!K18-Datos!U18)/Datos!U18,(Datos!K18+Datos!AE18-(Datos!U18+Datos!AM18))/(Datos!U18+Datos!AM18))
     ),IF(D_I="SI",(Datos!K18-Datos!U18)/Datos!U18,(Datos!K18+Datos!AE18-(Datos!U18+Datos!AM18))/(Datos!U18+Datos!AM18))," - ")</f>
        <v>-0.16778523489932887</v>
      </c>
      <c r="G18" s="394">
        <f>IF(ISNUMBER(
   IF(D_I="SI",(Datos!L18-Datos!V18)/Datos!V18,(Datos!L18+Datos!AF18-(Datos!V18+Datos!AN18))/(Datos!V18+Datos!AN18))
     ),IF(D_I="SI",(Datos!L18-Datos!V18)/Datos!V18,(Datos!L18+Datos!AF18-(Datos!V18+Datos!AN18))/(Datos!V18+Datos!AN18))," - ")</f>
        <v>-0.32258064516129031</v>
      </c>
      <c r="H18" s="244">
        <f>IF(ISNUMBER((Datos!M18-Datos!W18)/Datos!W18),(Datos!M18-Datos!W18)/Datos!W18," - ")</f>
        <v>0.66666666666666663</v>
      </c>
      <c r="I18" s="395">
        <f>IF(ISNUMBER((Tasas!C18-Datos!BE18)/Datos!BE18),(Tasas!C18-Datos!BE18)/Datos!BE18," - ")</f>
        <v>-0.18600416233090539</v>
      </c>
      <c r="J18" s="394">
        <f>IF(ISNUMBER((Tasas!D18-Datos!BF18)/Datos!BF18),(Tasas!D18-Datos!BF18)/Datos!BF18," - ")</f>
        <v>1.0026881720430108</v>
      </c>
      <c r="K18" s="396">
        <f>IF(ISNUMBER((Tasas!E18-Datos!BG18)/Datos!BG18),(Tasas!E18-Datos!BG18)/Datos!BG18," - ")</f>
        <v>-8.4485407066052148E-2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0.18483709273182958</v>
      </c>
      <c r="E23" s="399">
        <f>IF(ISNUMBER(
   IF(D_I="SI",(Datos!J23-Datos!T23)/Datos!T23,(Datos!J23+Datos!AD23-(Datos!T23+Datos!AL23))/(Datos!T23+Datos!AL23))
     ),IF(D_I="SI",(Datos!J23-Datos!T23)/Datos!T23,(Datos!J23+Datos!AD23-(Datos!T23+Datos!AL23))/(Datos!T23+Datos!AL23))," - ")</f>
        <v>-0.10894660894660894</v>
      </c>
      <c r="F23" s="399">
        <f>IF(ISNUMBER(
   IF(D_I="SI",(Datos!K23-Datos!U23)/Datos!U23,(Datos!K23+Datos!AE23-(Datos!U23+Datos!AM23))/(Datos!U23+Datos!AM23))
     ),IF(D_I="SI",(Datos!K23-Datos!U23)/Datos!U23,(Datos!K23+Datos!AE23-(Datos!U23+Datos!AM23))/(Datos!U23+Datos!AM23))," - ")</f>
        <v>-0.1005631536604988</v>
      </c>
      <c r="G23" s="400">
        <f>IF(ISNUMBER(
   IF(D_I="SI",(Datos!L23-Datos!V23)/Datos!V23,(Datos!L23+Datos!AF23-(Datos!V23+Datos!AN23))/(Datos!V23+Datos!AN23))
     ),IF(D_I="SI",(Datos!L23-Datos!V23)/Datos!V23,(Datos!L23+Datos!AF23-(Datos!V23+Datos!AN23))/(Datos!V23+Datos!AN23))," - ")</f>
        <v>0.21476104053236539</v>
      </c>
      <c r="H23" s="401">
        <f>IF(ISNUMBER((Datos!M23-Datos!W23)/Datos!W23),(Datos!M23-Datos!W23)/Datos!W23," - ")</f>
        <v>0</v>
      </c>
      <c r="I23" s="402">
        <f>IF(ISNUMBER((Tasas!C23-Datos!BE23)/Datos!BE23),(Tasas!C23-Datos!BE23)/Datos!BE23," - ")</f>
        <v>0.35057958263124339</v>
      </c>
      <c r="J23" s="400">
        <f>IF(ISNUMBER((Tasas!D23-Datos!BF23)/Datos!BF23),(Tasas!D23-Datos!BF23)/Datos!BF23," - ")</f>
        <v>0.11180679785330956</v>
      </c>
      <c r="K23" s="403">
        <f>IF(ISNUMBER((Tasas!E23-Datos!BG23)/Datos!BG23),(Tasas!E23-Datos!BG23)/Datos!BG23," - ")</f>
        <v>0.16549565730699042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0.23621478449313749</v>
      </c>
      <c r="E31" s="409">
        <f>IF(ISNUMBER(
   IF(J_V="SI",(Datos!J31-Datos!T31)/Datos!T31,(Datos!J31+Datos!Z31-(Datos!T31+Datos!AH31))/(Datos!T31+Datos!AH31))
     ),IF(J_V="SI",(Datos!J31-Datos!T31)/Datos!T31,(Datos!J31+Datos!Z31-(Datos!T31+Datos!AH31))/(Datos!T31+Datos!AH31))," - ")</f>
        <v>4.8957388939256573E-2</v>
      </c>
      <c r="F31" s="409">
        <f>IF(ISNUMBER(
   IF(J_V="SI",(Datos!K31-Datos!U31)/Datos!U31,(Datos!K31+Datos!AA31-(Datos!U31+Datos!AI31))/(Datos!U31+Datos!AI31))
     ),IF(J_V="SI",(Datos!K31-Datos!U31)/Datos!U31,(Datos!K31+Datos!AA31-(Datos!U31+Datos!AI31))/(Datos!U31+Datos!AI31))," - ")</f>
        <v>-1.5507753876938469E-2</v>
      </c>
      <c r="G31" s="410">
        <f>IF(ISNUMBER(
   IF(J_V="SI",(Datos!L31-Datos!V31)/Datos!V31,(Datos!L31+Datos!AB31-(Datos!V31+Datos!AJ31))/(Datos!V31+Datos!AJ31))
     ),IF(J_V="SI",(Datos!L31-Datos!V31)/Datos!V31,(Datos!L31+Datos!AB31-(Datos!V31+Datos!AJ31))/(Datos!V31+Datos!AJ31))," - ")</f>
        <v>0.30135359772025649</v>
      </c>
      <c r="H31" s="411">
        <f>IF(ISNUMBER((Datos!M31-Datos!W31)/Datos!W31),(Datos!M31-Datos!W31)/Datos!W31," - ")</f>
        <v>-6.8493150684931503E-3</v>
      </c>
      <c r="I31" s="408">
        <f>IF(ISNUMBER((Tasas!C31-Datos!BE31)/Datos!BE31),(Tasas!C31-Datos!BE31)/Datos!BE31," - ")</f>
        <v>0.32185256191198813</v>
      </c>
      <c r="J31" s="409">
        <f>IF(ISNUMBER((Tasas!D31-Datos!BF31)/Datos!BF31),(Tasas!D31-Datos!BF31)/Datos!BF31," - ")</f>
        <v>-0.21865228267667286</v>
      </c>
      <c r="K31" s="410">
        <f>IF(ISNUMBER((Tasas!E31-Datos!BG31)/Datos!BG31),(Tasas!E31-Datos!BG31)/Datos!BG31," - ")</f>
        <v>0.18970296244871565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0.3321995612195085</v>
      </c>
      <c r="E33" s="303">
        <f t="shared" si="1"/>
        <v>5.8327891721477419E-2</v>
      </c>
      <c r="F33" s="303">
        <f t="shared" si="1"/>
        <v>0.46121813941912188</v>
      </c>
      <c r="G33" s="304">
        <f t="shared" si="1"/>
        <v>0.3319565827956858</v>
      </c>
      <c r="H33" s="310">
        <f t="shared" si="1"/>
        <v>0.37436981661339513</v>
      </c>
      <c r="I33" s="302">
        <f t="shared" si="1"/>
        <v>0.3977967295243352</v>
      </c>
      <c r="J33" s="303">
        <f t="shared" si="1"/>
        <v>0.52004473004575846</v>
      </c>
      <c r="K33" s="304">
        <f t="shared" si="1"/>
        <v>0.28413554848772898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zwk/c5aynBB8Usff/zTHkbb52/MD1gPXRKawGw6H0q0DUjIg7mVSfduQPDjj7es1ue6hPinyGlxur/Mptyvjw==" saltValue="1lzd7Euj3c4GjohlNJOlc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2023-05-06T01:20:50Z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